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5195" windowHeight="8445" activeTab="1"/>
  </bookViews>
  <sheets>
    <sheet name="rynki" sheetId="1" r:id="rId1"/>
    <sheet name="liczenie PD" sheetId="2" r:id="rId2"/>
    <sheet name="liczenie PDD" sheetId="3" r:id="rId3"/>
    <sheet name="cena" sheetId="4" r:id="rId4"/>
    <sheet name="kowboje" sheetId="5" r:id="rId5"/>
  </sheets>
  <externalReferences>
    <externalReference r:id="rId8"/>
  </externalReferences>
  <definedNames>
    <definedName name="_xlnm.Print_Area" localSheetId="0">'rynki'!$A$2:$N$76</definedName>
  </definedNames>
  <calcPr fullCalcOnLoad="1"/>
</workbook>
</file>

<file path=xl/comments1.xml><?xml version="1.0" encoding="utf-8"?>
<comments xmlns="http://schemas.openxmlformats.org/spreadsheetml/2006/main">
  <authors>
    <author>Tomasz Smieszkol</author>
    <author>SMIESZKOŁ</author>
  </authors>
  <commentList>
    <comment ref="E21" authorId="0">
      <text>
        <r>
          <rPr>
            <sz val="8"/>
            <rFont val="Tahoma"/>
            <family val="0"/>
          </rPr>
          <t xml:space="preserve">zakładamy, że jest to cena początkowa w rozgrywce - dolny próg podaży ziemi rządowej
</t>
        </r>
      </text>
    </comment>
    <comment ref="G4" authorId="0">
      <text>
        <r>
          <rPr>
            <sz val="8"/>
            <rFont val="Tahoma"/>
            <family val="2"/>
          </rPr>
          <t>w San Francisco naturalna imigracja zwiększa się co roku o 12%</t>
        </r>
        <r>
          <rPr>
            <sz val="8"/>
            <rFont val="Tahoma"/>
            <family val="0"/>
          </rPr>
          <t xml:space="preserve">
</t>
        </r>
      </text>
    </comment>
    <comment ref="D42" authorId="0">
      <text>
        <r>
          <rPr>
            <sz val="8"/>
            <rFont val="Tahoma"/>
            <family val="2"/>
          </rPr>
          <t>ułamek pracownika można interpretować jako zatrudnienie na niepełny etat lub na kilka miesięcy</t>
        </r>
      </text>
    </comment>
    <comment ref="D46" authorId="0">
      <text>
        <r>
          <rPr>
            <sz val="8"/>
            <rFont val="Tahoma"/>
            <family val="2"/>
          </rPr>
          <t>ułamek przy imigracji lub bezrobotnych można interpretować jako osobę, która jest w miasteczku tylko przez kilka miesięcy w danym roku</t>
        </r>
      </text>
    </comment>
    <comment ref="D17" authorId="0">
      <text>
        <r>
          <rPr>
            <sz val="8"/>
            <rFont val="Tahoma"/>
            <family val="2"/>
          </rPr>
          <t xml:space="preserve">w przypadku owiec mieszkańcy przeznaczają 20% stada na ubój
</t>
        </r>
      </text>
    </comment>
    <comment ref="D65" authorId="0">
      <text>
        <r>
          <rPr>
            <sz val="8"/>
            <rFont val="Tahoma"/>
            <family val="2"/>
          </rPr>
          <t>w przypadku owiec produktywność jest o 23,1% wyższa (zagęszczenie owiec na pastwiskach jest dzielone przez 2)</t>
        </r>
      </text>
    </comment>
    <comment ref="D68" authorId="0">
      <text>
        <r>
          <rPr>
            <sz val="8"/>
            <rFont val="Tahoma"/>
            <family val="2"/>
          </rPr>
          <t>ponieważ ilość nowych krów jest liczbą całkowitą, to by gracz nie był poszkodowany przez zaokrąglanie (2,9 dawałoby ten sam rezultat co 2,1), to ułamek nienarodzonej krowy jest przenoszony na rok następny</t>
        </r>
      </text>
    </comment>
    <comment ref="G10" authorId="0">
      <text>
        <r>
          <rPr>
            <sz val="8"/>
            <rFont val="Tahoma"/>
            <family val="2"/>
          </rPr>
          <t>produkcja owiec jest dwa razy mniejsza - każda owca daje 37,5 funta wełny rocznie</t>
        </r>
      </text>
    </comment>
    <comment ref="G11" authorId="0">
      <text>
        <r>
          <rPr>
            <sz val="8"/>
            <rFont val="Tahoma"/>
            <family val="2"/>
          </rPr>
          <t>ilość mięsa pozyskana z każdej owcy wynosi 100 funtów</t>
        </r>
      </text>
    </comment>
    <comment ref="I69" authorId="0">
      <text>
        <r>
          <rPr>
            <sz val="8"/>
            <rFont val="Tahoma"/>
            <family val="2"/>
          </rPr>
          <t>w przypadku owiec produktywność jest o 23,1% wyższa (zagęszczenie owiec na pastwiskach jest dzielone przez 2)</t>
        </r>
      </text>
    </comment>
    <comment ref="D67" authorId="0">
      <text>
        <r>
          <rPr>
            <sz val="8"/>
            <rFont val="Tahoma"/>
            <family val="2"/>
          </rPr>
          <t>nowe krowy nie dają mleka przez pierwszy rok</t>
        </r>
      </text>
    </comment>
    <comment ref="D11" authorId="0">
      <text>
        <r>
          <rPr>
            <sz val="8"/>
            <rFont val="Tahoma"/>
            <family val="2"/>
          </rPr>
          <t>ziemia nie produkująca żadnych dóbr</t>
        </r>
      </text>
    </comment>
    <comment ref="D53" authorId="0">
      <text>
        <r>
          <rPr>
            <sz val="8"/>
            <rFont val="Tahoma"/>
            <family val="2"/>
          </rPr>
          <t>wartość powiększona o 1/4 współczynnika inflacji</t>
        </r>
      </text>
    </comment>
    <comment ref="J26" authorId="0">
      <text>
        <r>
          <rPr>
            <b/>
            <sz val="8"/>
            <rFont val="Tahoma"/>
            <family val="2"/>
          </rPr>
          <t xml:space="preserve">im wyższa cena od wartości wyjściowej, do której są przyzwyczajeni mieszkańcy, tym ich popyt na mleko jest mniejszy. </t>
        </r>
      </text>
    </comment>
    <comment ref="J35" authorId="0">
      <text>
        <r>
          <rPr>
            <b/>
            <sz val="8"/>
            <rFont val="Tahoma"/>
            <family val="0"/>
          </rPr>
          <t xml:space="preserve">im wyższa cena od wartości wyjściowej, do której są przyzwyczajeni mieszkańcy, tym ich popyt na mięso jest mniejszy. </t>
        </r>
      </text>
    </comment>
    <comment ref="D52" authorId="1">
      <text>
        <r>
          <rPr>
            <sz val="8"/>
            <rFont val="Tahoma"/>
            <family val="2"/>
          </rPr>
          <t xml:space="preserve"> Średnia ważona zmian cen: ziemi (waga 5%), krów/owiec (10%), mleka (35%), mięsa (15%) i zboża (35%)</t>
        </r>
      </text>
    </comment>
    <comment ref="D51" authorId="1">
      <text>
        <r>
          <rPr>
            <sz val="8"/>
            <rFont val="Tahoma"/>
            <family val="2"/>
          </rPr>
          <t>W niektórych miastach płace rosną dodatkowo o stałą wartość - np. w San Francisco płace są dodatkowo powiększane o 15$ rocznie</t>
        </r>
      </text>
    </comment>
  </commentList>
</comments>
</file>

<file path=xl/comments2.xml><?xml version="1.0" encoding="utf-8"?>
<comments xmlns="http://schemas.openxmlformats.org/spreadsheetml/2006/main">
  <authors>
    <author>Tomasz Smieszkol</author>
  </authors>
  <commentList>
    <comment ref="A12" authorId="0">
      <text>
        <r>
          <rPr>
            <b/>
            <sz val="8"/>
            <rFont val="Tahoma"/>
            <family val="0"/>
          </rPr>
          <t xml:space="preserve">Gdy rozgrywka jest przyśpieszana, używając opcji 'gotów' lub przy przeliczeniach co 12h, zmiany PD są nieco mniejsze. </t>
        </r>
      </text>
    </comment>
    <comment ref="A13" authorId="0">
      <text>
        <r>
          <rPr>
            <b/>
            <sz val="8"/>
            <rFont val="Tahoma"/>
            <family val="0"/>
          </rPr>
          <t>Im więcej tur ma rozgrywka, tym więcej PD można zarobić.</t>
        </r>
      </text>
    </comment>
    <comment ref="A31" authorId="0">
      <text>
        <r>
          <rPr>
            <b/>
            <sz val="8"/>
            <rFont val="Tahoma"/>
            <family val="0"/>
          </rPr>
          <t>Im więcej tur ma rozgrywka, tym więcej PD można zarobić.</t>
        </r>
      </text>
    </comment>
    <comment ref="A47" authorId="0">
      <text>
        <r>
          <rPr>
            <b/>
            <sz val="8"/>
            <rFont val="Tahoma"/>
            <family val="0"/>
          </rPr>
          <t>Im więcej tur ma rozgrywka, tym więcej PD można zarobić.</t>
        </r>
      </text>
    </comment>
    <comment ref="A63" authorId="0">
      <text>
        <r>
          <rPr>
            <b/>
            <sz val="8"/>
            <rFont val="Tahoma"/>
            <family val="0"/>
          </rPr>
          <t>Im więcej tur ma rozgrywka, tym więcej PD można zarobić.</t>
        </r>
      </text>
    </comment>
    <comment ref="A30" authorId="0">
      <text>
        <r>
          <rPr>
            <b/>
            <sz val="8"/>
            <rFont val="Tahoma"/>
            <family val="0"/>
          </rPr>
          <t xml:space="preserve">Gdy rozgrywka jest przyśpieszana, używając opcji 'gotów' lub przy przeliczeniach co 12h, zmiany PD są nieco mniejsze. </t>
        </r>
      </text>
    </comment>
    <comment ref="A46" authorId="0">
      <text>
        <r>
          <rPr>
            <b/>
            <sz val="8"/>
            <rFont val="Tahoma"/>
            <family val="0"/>
          </rPr>
          <t xml:space="preserve">Gdy rozgrywka jest przyśpieszana, używając opcji 'gotów' lub przy przeliczeniach co 12h, zmiany PD są nieco mniejsze. </t>
        </r>
      </text>
    </comment>
    <comment ref="A62" authorId="0">
      <text>
        <r>
          <rPr>
            <b/>
            <sz val="8"/>
            <rFont val="Tahoma"/>
            <family val="0"/>
          </rPr>
          <t xml:space="preserve">Gdy rozgrywka jest przyśpieszana, używając opcji 'gotów' lub przy przeliczeniach co 12h, zmiany PD są nieco mniejsze. </t>
        </r>
      </text>
    </comment>
  </commentList>
</comments>
</file>

<file path=xl/comments3.xml><?xml version="1.0" encoding="utf-8"?>
<comments xmlns="http://schemas.openxmlformats.org/spreadsheetml/2006/main">
  <authors>
    <author>Tomasz Smieszkol</author>
  </authors>
  <commentList>
    <comment ref="A11" authorId="0">
      <text>
        <r>
          <rPr>
            <b/>
            <sz val="8"/>
            <rFont val="Tahoma"/>
            <family val="0"/>
          </rPr>
          <t>Im więcej tur ma rozgrywka, tym więcej PD można zarobić.</t>
        </r>
      </text>
    </comment>
    <comment ref="A27" authorId="0">
      <text>
        <r>
          <rPr>
            <b/>
            <sz val="8"/>
            <rFont val="Tahoma"/>
            <family val="0"/>
          </rPr>
          <t>Im więcej tur ma rozgrywka, tym więcej PD można zarobić.</t>
        </r>
      </text>
    </comment>
    <comment ref="A41" authorId="0">
      <text>
        <r>
          <rPr>
            <b/>
            <sz val="8"/>
            <rFont val="Tahoma"/>
            <family val="0"/>
          </rPr>
          <t>Im więcej tur ma rozgrywka, tym więcej PD można zarobić.</t>
        </r>
      </text>
    </comment>
  </commentList>
</comments>
</file>

<file path=xl/comments5.xml><?xml version="1.0" encoding="utf-8"?>
<comments xmlns="http://schemas.openxmlformats.org/spreadsheetml/2006/main">
  <authors>
    <author>Tomasz Smieszkol</author>
  </authors>
  <commentList>
    <comment ref="C9" authorId="0">
      <text>
        <r>
          <rPr>
            <sz val="8"/>
            <rFont val="Tahoma"/>
            <family val="2"/>
          </rPr>
          <t>jeśli powyżej 10 to niszczone jest 100% plonów lub zagrabiane 100% bydła, jeśli &lt;2 to atak bezskuteczny</t>
        </r>
      </text>
    </comment>
    <comment ref="C6" authorId="0">
      <text>
        <r>
          <rPr>
            <sz val="8"/>
            <rFont val="Tahoma"/>
            <family val="2"/>
          </rPr>
          <t>w przypadku ataku na eksportowane towary obrona konwoju jest równa 5</t>
        </r>
      </text>
    </comment>
  </commentList>
</comments>
</file>

<file path=xl/sharedStrings.xml><?xml version="1.0" encoding="utf-8"?>
<sst xmlns="http://schemas.openxmlformats.org/spreadsheetml/2006/main" count="384" uniqueCount="181">
  <si>
    <t>ludność</t>
  </si>
  <si>
    <t>bezrobotni</t>
  </si>
  <si>
    <t>płace</t>
  </si>
  <si>
    <t>ziemia</t>
  </si>
  <si>
    <t>krowy</t>
  </si>
  <si>
    <t>pszenica</t>
  </si>
  <si>
    <t>ziemia rządowa</t>
  </si>
  <si>
    <t>rynek ziemi</t>
  </si>
  <si>
    <t>cena</t>
  </si>
  <si>
    <t>bez zmian</t>
  </si>
  <si>
    <t>+10%</t>
  </si>
  <si>
    <t>+20%</t>
  </si>
  <si>
    <t>rynek krów</t>
  </si>
  <si>
    <t>ilość ziemi przeznaczona przez mieszkańców na uprawy</t>
  </si>
  <si>
    <t>ilość ziemi przeznaczona przez mieszkańców na hodowlę</t>
  </si>
  <si>
    <t>rynek pszenicy</t>
  </si>
  <si>
    <t>zbiory kukurydzy z jednej działki</t>
  </si>
  <si>
    <t>popyt mieszkańca na mleko</t>
  </si>
  <si>
    <t>popyt mieszkańca na mięso</t>
  </si>
  <si>
    <t>popyt mieszkańca na zboże</t>
  </si>
  <si>
    <t>podaż mieszkańców</t>
  </si>
  <si>
    <t>popyt mieszkańców</t>
  </si>
  <si>
    <t>podaż rządu</t>
  </si>
  <si>
    <t>popyt mieszkańców na mleko</t>
  </si>
  <si>
    <t>podaż na rynku</t>
  </si>
  <si>
    <t>współczynnik podaż/popyt</t>
  </si>
  <si>
    <t>wpływ nierównowagi na cenę</t>
  </si>
  <si>
    <t>cena mleka w zeszłym roku</t>
  </si>
  <si>
    <t>cena mleka w tym roku</t>
  </si>
  <si>
    <t>cena mięsa w zeszłym roku</t>
  </si>
  <si>
    <t>popyt mieszkańców na mięso</t>
  </si>
  <si>
    <t>cena mięsa w tym roku</t>
  </si>
  <si>
    <t>rynek mleka</t>
  </si>
  <si>
    <t>rynek mięsa</t>
  </si>
  <si>
    <t>dane mieszkańców:</t>
  </si>
  <si>
    <t>dane miasteczka:</t>
  </si>
  <si>
    <t>stałe:</t>
  </si>
  <si>
    <t>rynek pracy</t>
  </si>
  <si>
    <t>pracownicy zatrudnieni przez graczy w zeszłym roku</t>
  </si>
  <si>
    <t>pracownicy zatrudnieni przez graczy w tym roku</t>
  </si>
  <si>
    <t>zmiana w zatrudnieniu</t>
  </si>
  <si>
    <t>naturalny poziom imigracji</t>
  </si>
  <si>
    <t>imigracja</t>
  </si>
  <si>
    <t>nowa ilość bezrobotnych</t>
  </si>
  <si>
    <t>nowa stopa bezrobocia</t>
  </si>
  <si>
    <t>stara stopa bezrobocia</t>
  </si>
  <si>
    <t>rok bieżący</t>
  </si>
  <si>
    <t>rok poprzedni</t>
  </si>
  <si>
    <t>zmiana płac</t>
  </si>
  <si>
    <t>nowe płace</t>
  </si>
  <si>
    <t>względna zmiana bezrobocia</t>
  </si>
  <si>
    <t>decyzje mieszkańców:</t>
  </si>
  <si>
    <t>ilość krów przeznaczona na ubój</t>
  </si>
  <si>
    <t>ilość mleka z krowy</t>
  </si>
  <si>
    <t>ilość działek uprawiana przez jednego pracownika</t>
  </si>
  <si>
    <t>dane gracza:</t>
  </si>
  <si>
    <t>decyzje gracza:</t>
  </si>
  <si>
    <t>ilość działek na pastwiska</t>
  </si>
  <si>
    <t>ilość krów na ubój</t>
  </si>
  <si>
    <t>produktywność krów 1</t>
  </si>
  <si>
    <t>ilość nowych krów</t>
  </si>
  <si>
    <t>rozrodczość krów</t>
  </si>
  <si>
    <t>ułamek z zeszłego roku</t>
  </si>
  <si>
    <t>ułamek przechodzący na przyszły rok</t>
  </si>
  <si>
    <t>nowe krowy</t>
  </si>
  <si>
    <t>końcowa liczba krów</t>
  </si>
  <si>
    <t>produkcja mięsa</t>
  </si>
  <si>
    <t>ilość mięsa z krowy</t>
  </si>
  <si>
    <t>produkcja mleka</t>
  </si>
  <si>
    <t>produktywność krów 2</t>
  </si>
  <si>
    <t>ilość pasterzy potrzebna do hodowli</t>
  </si>
  <si>
    <t>wyjaśnienia</t>
  </si>
  <si>
    <t>znak '^' w formułach oznacza podnoszenie do potęgi</t>
  </si>
  <si>
    <t>decyzje gracza</t>
  </si>
  <si>
    <t>4 graczy</t>
  </si>
  <si>
    <t>gracz</t>
  </si>
  <si>
    <t>a</t>
  </si>
  <si>
    <t>b</t>
  </si>
  <si>
    <t>c</t>
  </si>
  <si>
    <t>d</t>
  </si>
  <si>
    <t>parametry</t>
  </si>
  <si>
    <t>ilość graczy</t>
  </si>
  <si>
    <t>pkty doświadczenia (początkowe)</t>
  </si>
  <si>
    <t>wsp. trudności dla gracza</t>
  </si>
  <si>
    <t>pkty wyjściowe na gracza</t>
  </si>
  <si>
    <t>im gra na wyższym poziomie, tym wyższe zmiany</t>
  </si>
  <si>
    <t>wynik (majątek/eksport/zboże/ziemia)*</t>
  </si>
  <si>
    <t>wynik - w zależności od celu: majątek, ziemia, eksport, zboże</t>
  </si>
  <si>
    <t>oczekiwany wynik</t>
  </si>
  <si>
    <t>im lepszy gracz, tym wyższy powinien mieć wynik</t>
  </si>
  <si>
    <t>odchylenie ponad -100%</t>
  </si>
  <si>
    <t>ile graczy ma premię</t>
  </si>
  <si>
    <t>premia za pierwsze miejsce</t>
  </si>
  <si>
    <t>zmiana dośw.</t>
  </si>
  <si>
    <t>nowe pkty dośw</t>
  </si>
  <si>
    <t>* wynik gracza zależy od celu. Brana jest pod uwagę tylko wartość określona celem gry 
(dla algorytmu ważne są tylko względne różnice między wynikami graczy - można wyniki 
pomnożyć przez 100 i "zmiana PD" się nie zmieni)</t>
  </si>
  <si>
    <t>5 graczy</t>
  </si>
  <si>
    <t>e</t>
  </si>
  <si>
    <t>6 graczy</t>
  </si>
  <si>
    <t>f</t>
  </si>
  <si>
    <t>UWAGA: w bazie danych punkty PD liczone są z dokładnością do dwóch miejsc po przecinku. Natomiast dla graczy wyświetlane są z dokładnością do 1/10, dlatego przy zaokrąglaniu mogą pojawić się pewne małe różnice w stosunku do wartości w tym arkuszu</t>
  </si>
  <si>
    <t>produkcja kukurydzy</t>
  </si>
  <si>
    <t>dane niepowiązane - zmień je, by zobaczyć jak wpływają na inne pozycje</t>
  </si>
  <si>
    <t>Coś niejasne? Pisz na pomoc@farmersi.pl</t>
  </si>
  <si>
    <t>1) krowy nowo kupione (październik) dają mleko i rozmnażają się (listopad).</t>
  </si>
  <si>
    <t>2) krowy na ubój (październik) nie rozmnażają się i nie dają mleka.</t>
  </si>
  <si>
    <t>4) krowy eksportowane dają tylko połowę normalnej ilości mleka (wrzesień - marzec), ale wymagają normalnej ilości pasterzy</t>
  </si>
  <si>
    <t>3) krowy nowonarodzone (listopad) nie dają mleka, ale mogą zostać wyeksportowane (marzec)</t>
  </si>
  <si>
    <t>warto wiedzieć:</t>
  </si>
  <si>
    <t>cena mleka z tury zerowej</t>
  </si>
  <si>
    <t>cena mięsa z tury zerowej</t>
  </si>
  <si>
    <t>popyt po korekcie cenowej</t>
  </si>
  <si>
    <t>podaż</t>
  </si>
  <si>
    <t>popyt</t>
  </si>
  <si>
    <t>obrót</t>
  </si>
  <si>
    <t>cena:</t>
  </si>
  <si>
    <t>ilość kowbojów atakujących</t>
  </si>
  <si>
    <t>siła ataku</t>
  </si>
  <si>
    <t>ilość kowbojów broniących</t>
  </si>
  <si>
    <t>ilość pracowników gracza zaatakowanego lub wartość obrony konwoju eksportowego</t>
  </si>
  <si>
    <t>siła obrony</t>
  </si>
  <si>
    <t>atak / obrona</t>
  </si>
  <si>
    <t>skuteczność ataku (maks. 100%)</t>
  </si>
  <si>
    <t>kowbojów atakujących poległo (maksymalnie 50%)</t>
  </si>
  <si>
    <t>&gt;0</t>
  </si>
  <si>
    <t>kowbojów broniących poległo (maksymalnie 50%)</t>
  </si>
  <si>
    <t>a)</t>
  </si>
  <si>
    <t>b)</t>
  </si>
  <si>
    <t>c)</t>
  </si>
  <si>
    <t>d)</t>
  </si>
  <si>
    <t>atak na pola</t>
  </si>
  <si>
    <t>atak na bydło</t>
  </si>
  <si>
    <t>atak na eksportowane bydło</t>
  </si>
  <si>
    <t>atak na konwój eksportowy zboża</t>
  </si>
  <si>
    <t>dane wyjściowe:</t>
  </si>
  <si>
    <t>ilość działek na oprawy</t>
  </si>
  <si>
    <t>ilość bydła, po odliczeniu eksportu krów</t>
  </si>
  <si>
    <t>ilość eksportowanych krów</t>
  </si>
  <si>
    <t>ilość zboża</t>
  </si>
  <si>
    <t>rezultat ataku:</t>
  </si>
  <si>
    <t>ilość działek na których zboże zostało spalone</t>
  </si>
  <si>
    <t>ilość bydła zagrabiona przez atakującego</t>
  </si>
  <si>
    <t>ilość zboża zagrabiona</t>
  </si>
  <si>
    <t>e)</t>
  </si>
  <si>
    <t>polowanie na bizony</t>
  </si>
  <si>
    <t>ilość bizonów</t>
  </si>
  <si>
    <t>siła obrony bizonów</t>
  </si>
  <si>
    <t>skuteczność ataku</t>
  </si>
  <si>
    <t>upolowanych bizonów</t>
  </si>
  <si>
    <t>zdobyte mięso</t>
  </si>
  <si>
    <t>dochód ze skór</t>
  </si>
  <si>
    <t>krzywe podaży i popytu przecinają się - o cenie decyduje najwyższy obrót, przy cenie możliwie blisko starej ceny</t>
  </si>
  <si>
    <t>korekta 1 - związana z przyśpieszeniem gry</t>
  </si>
  <si>
    <t>ilość tur</t>
  </si>
  <si>
    <t>korekta 2 - związana z długością gry</t>
  </si>
  <si>
    <t>7 graczy</t>
  </si>
  <si>
    <t>g</t>
  </si>
  <si>
    <t>korekta 3 - maksymalna zmiana (nie może być wyższa niż iloczyn liczby graczy i 'pkty wyjściowe na gracza')</t>
  </si>
  <si>
    <t>o ile gra została przyśpieszona, przy użyciu opcji 'gotów do przeliczenia' lub dzięki przeliczeniom co 12h</t>
  </si>
  <si>
    <r>
      <rPr>
        <b/>
        <sz val="10"/>
        <rFont val="Arial"/>
        <family val="2"/>
      </rPr>
      <t>Uwaga:</t>
    </r>
    <r>
      <rPr>
        <sz val="10"/>
        <rFont val="Arial"/>
        <family val="2"/>
      </rPr>
      <t xml:space="preserve"> w przypadku, gdy więcej kowbojów zostało przydzielonych do zadań niż gracz ma ich do dyspozycji, pierwszeństwo mają kowboje wysyłani do ataku, następni są kowboje przydzieleni do obrony eksportu, a dalej kowboje wysyłani na polowanie. Do obrony farmy pozostają kowboje nie przydzieleni do żadnych zadań.</t>
    </r>
  </si>
  <si>
    <t>5) eksportowane są w pierwszej kolejności krowy dorosłe (młode pozostają na pastwiskach, chyba, że też są eksportowane)</t>
  </si>
  <si>
    <t>6) krowy eksportowane zwiększają produktywność przy produkcji mleka - liczona jest średnia liczba krów na pastwiskach w ciągu roku</t>
  </si>
  <si>
    <t>4 drużyny</t>
  </si>
  <si>
    <t>3 drużyny</t>
  </si>
  <si>
    <t>drużyna</t>
  </si>
  <si>
    <t>ilość drużyn</t>
  </si>
  <si>
    <t>pkty wyjściowe na drużynę</t>
  </si>
  <si>
    <t>ile drużyn ma premię</t>
  </si>
  <si>
    <t>im lepsza drużyna, tym wyższy powinna mieć wynik</t>
  </si>
  <si>
    <t>2 drużyny</t>
  </si>
  <si>
    <t>podaż lub popyt dominuje (najniższa wartość popytu jest wyższa od najwyższej wartości podaży lub odwrotnie) i jest kilka cen o najwyższym obrocie - wybrana jest cena odpowiednio najniższa i najwyższa, dla cen o największym obrocie</t>
  </si>
  <si>
    <t>są dwie ceny o najwyższym obrocie, jednakowo oddalone od ceny środkowej - wybrana jest cena niższa</t>
  </si>
  <si>
    <t>podaż lub popyt dominuje, ale jest jedna cena dająca najwyższy obrót</t>
  </si>
  <si>
    <t>jest kilka cen o najwyższym obrocie, ale nie ma jasnej dominacji popytu lub podaży (patrz pkt 3) - wybrana jest cena najbliższa cenie z poprzedniego roku</t>
  </si>
  <si>
    <t>wersja 1</t>
  </si>
  <si>
    <t>wersja 2</t>
  </si>
  <si>
    <t>wersja 3</t>
  </si>
  <si>
    <t>nowe płace - wartość bazowa</t>
  </si>
  <si>
    <t>inflacja</t>
  </si>
  <si>
    <t>w przypadku wyzwań i gier ligowych współczynnik trudności jest jednakowy dla wszystkich graczy</t>
  </si>
  <si>
    <t>UWAGA: w bazie danych punkty PD liczone są z dokładnością do dwóch miejsc po przecinku. Natomiast wyświetlane są z dokładnością do 1/10, dlatego przy zaokrąglaniu mogą pojawić się pewne małe różnice w stosunku do wartości w tym arkuszu</t>
  </si>
</sst>
</file>

<file path=xl/styles.xml><?xml version="1.0" encoding="utf-8"?>
<styleSheet xmlns="http://schemas.openxmlformats.org/spreadsheetml/2006/main">
  <numFmts count="4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000"/>
    <numFmt numFmtId="165" formatCode="0.0000"/>
    <numFmt numFmtId="166" formatCode="0.000"/>
    <numFmt numFmtId="167" formatCode="0.0"/>
    <numFmt numFmtId="168" formatCode="0.0%"/>
    <numFmt numFmtId="169" formatCode="0.000000"/>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C09]#,##0"/>
    <numFmt numFmtId="179" formatCode="[$$-C09]#,##0.0"/>
    <numFmt numFmtId="180" formatCode="[$$-C09]#,##0.00"/>
    <numFmt numFmtId="181" formatCode="0.00000000"/>
    <numFmt numFmtId="182" formatCode="0.0000000"/>
    <numFmt numFmtId="183" formatCode="[$$-C09]#,##0.000"/>
    <numFmt numFmtId="184" formatCode="_-* #,##0.0\ &quot;zł&quot;_-;\-* #,##0.0\ &quot;zł&quot;_-;_-* &quot;-&quot;??\ &quot;zł&quot;_-;_-@_-"/>
    <numFmt numFmtId="185" formatCode="_-* #,##0\ &quot;zł&quot;_-;\-* #,##0\ &quot;zł&quot;_-;_-* &quot;-&quot;??\ &quot;zł&quot;_-;_-@_-"/>
    <numFmt numFmtId="186" formatCode="0.000%"/>
    <numFmt numFmtId="187" formatCode="0.0000%"/>
    <numFmt numFmtId="188" formatCode="0.00000%"/>
    <numFmt numFmtId="189" formatCode="0.000000%"/>
    <numFmt numFmtId="190" formatCode="0.0000000%"/>
    <numFmt numFmtId="191" formatCode="[$$-C09]#,##0.0000"/>
    <numFmt numFmtId="192" formatCode="_-* #,##0.0\ _z_ł_-;\-* #,##0.0\ _z_ł_-;_-* &quot;-&quot;??\ _z_ł_-;_-@_-"/>
    <numFmt numFmtId="193" formatCode="_-* #,##0\ _z_ł_-;\-* #,##0\ _z_ł_-;_-* &quot;-&quot;??\ _z_ł_-;_-@_-"/>
    <numFmt numFmtId="194" formatCode="[$$-C09]#,##0.00000"/>
    <numFmt numFmtId="195" formatCode="[$$-C09]#,##0.000000"/>
    <numFmt numFmtId="196" formatCode="&quot;Tak&quot;;&quot;Tak&quot;;&quot;Nie&quot;"/>
    <numFmt numFmtId="197" formatCode="&quot;Prawda&quot;;&quot;Prawda&quot;;&quot;Fałsz&quot;"/>
    <numFmt numFmtId="198" formatCode="&quot;Włączone&quot;;&quot;Włączone&quot;;&quot;Wyłączone&quot;"/>
    <numFmt numFmtId="199" formatCode="[$€-2]\ #,##0.00_);[Red]\([$€-2]\ #,##0.00\)"/>
  </numFmts>
  <fonts count="50">
    <font>
      <sz val="10"/>
      <name val="Arial"/>
      <family val="0"/>
    </font>
    <font>
      <sz val="8"/>
      <name val="Tahoma"/>
      <family val="0"/>
    </font>
    <font>
      <b/>
      <sz val="10"/>
      <name val="Arial"/>
      <family val="2"/>
    </font>
    <font>
      <sz val="8"/>
      <name val="Arial"/>
      <family val="0"/>
    </font>
    <font>
      <sz val="10"/>
      <name val="Arial CE"/>
      <family val="0"/>
    </font>
    <font>
      <u val="single"/>
      <sz val="10"/>
      <color indexed="12"/>
      <name val="Arial CE"/>
      <family val="0"/>
    </font>
    <font>
      <u val="single"/>
      <sz val="10"/>
      <color indexed="36"/>
      <name val="Arial CE"/>
      <family val="0"/>
    </font>
    <font>
      <b/>
      <sz val="15"/>
      <name val="Arial CE"/>
      <family val="0"/>
    </font>
    <font>
      <b/>
      <sz val="10"/>
      <name val="Arial CE"/>
      <family val="0"/>
    </font>
    <font>
      <i/>
      <sz val="10"/>
      <color indexed="55"/>
      <name val="Arial"/>
      <family val="2"/>
    </font>
    <font>
      <b/>
      <sz val="8"/>
      <name val="Tahoma"/>
      <family val="0"/>
    </font>
    <font>
      <i/>
      <sz val="10"/>
      <color indexed="23"/>
      <name val="Arial"/>
      <family val="2"/>
    </font>
    <font>
      <b/>
      <i/>
      <sz val="10"/>
      <color indexed="23"/>
      <name val="Arial"/>
      <family val="2"/>
    </font>
    <font>
      <sz val="8"/>
      <color indexed="8"/>
      <name val="Arial"/>
      <family val="0"/>
    </font>
    <font>
      <sz val="7.35"/>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2"/>
        <bgColor indexed="64"/>
      </patternFill>
    </fill>
    <fill>
      <patternFill patternType="solid">
        <fgColor indexed="44"/>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45"/>
        <bgColor indexed="64"/>
      </patternFill>
    </fill>
    <fill>
      <patternFill patternType="solid">
        <fgColor indexed="14"/>
        <bgColor indexed="64"/>
      </patternFill>
    </fill>
    <fill>
      <patternFill patternType="solid">
        <fgColor rgb="FFFFFF0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color indexed="63"/>
      </left>
      <right style="mediumDashDot"/>
      <top>
        <color indexed="63"/>
      </top>
      <bottom>
        <color indexed="63"/>
      </bottom>
    </border>
    <border>
      <left style="medium"/>
      <right style="mediumDashDot"/>
      <top>
        <color indexed="63"/>
      </top>
      <bottom>
        <color indexed="63"/>
      </bottom>
    </border>
    <border>
      <left>
        <color indexed="63"/>
      </left>
      <right>
        <color indexed="63"/>
      </right>
      <top>
        <color indexed="63"/>
      </top>
      <bottom style="mediumDashDot"/>
    </border>
    <border>
      <left style="mediumDashDot"/>
      <right>
        <color indexed="63"/>
      </right>
      <top>
        <color indexed="63"/>
      </top>
      <bottom style="mediumDashDot"/>
    </border>
    <border>
      <left>
        <color indexed="63"/>
      </left>
      <right style="mediumDashDot"/>
      <top>
        <color indexed="63"/>
      </top>
      <bottom style="mediumDashDot"/>
    </border>
    <border>
      <left>
        <color indexed="63"/>
      </left>
      <right style="mediumDashDot"/>
      <top style="mediumDashDot"/>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6"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4"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47">
    <xf numFmtId="0" fontId="0" fillId="0" borderId="0" xfId="0" applyAlignment="1">
      <alignment/>
    </xf>
    <xf numFmtId="0" fontId="2" fillId="0" borderId="0" xfId="0" applyFont="1" applyAlignment="1">
      <alignment/>
    </xf>
    <xf numFmtId="0" fontId="0" fillId="0" borderId="0" xfId="0" applyAlignment="1">
      <alignment horizontal="center"/>
    </xf>
    <xf numFmtId="0" fontId="2" fillId="0" borderId="0" xfId="0" applyFont="1" applyAlignment="1">
      <alignment horizontal="right"/>
    </xf>
    <xf numFmtId="0" fontId="0" fillId="0" borderId="0" xfId="0" applyAlignment="1">
      <alignment horizontal="right"/>
    </xf>
    <xf numFmtId="9" fontId="0" fillId="0" borderId="0" xfId="60" applyFont="1" applyAlignment="1">
      <alignment/>
    </xf>
    <xf numFmtId="0" fontId="4" fillId="0" borderId="0" xfId="57">
      <alignment/>
      <protection/>
    </xf>
    <xf numFmtId="0" fontId="7" fillId="0" borderId="0" xfId="57" applyFont="1" applyAlignment="1">
      <alignment horizontal="center"/>
      <protection/>
    </xf>
    <xf numFmtId="0" fontId="4" fillId="33" borderId="0" xfId="57" applyFill="1">
      <alignment/>
      <protection/>
    </xf>
    <xf numFmtId="0" fontId="4" fillId="34" borderId="0" xfId="57" applyFill="1">
      <alignment/>
      <protection/>
    </xf>
    <xf numFmtId="0" fontId="4" fillId="0" borderId="0" xfId="57" applyFill="1">
      <alignment/>
      <protection/>
    </xf>
    <xf numFmtId="0" fontId="4" fillId="34" borderId="10" xfId="57" applyFill="1" applyBorder="1">
      <alignment/>
      <protection/>
    </xf>
    <xf numFmtId="0" fontId="4" fillId="34" borderId="11" xfId="57" applyFill="1" applyBorder="1">
      <alignment/>
      <protection/>
    </xf>
    <xf numFmtId="0" fontId="4" fillId="34" borderId="12" xfId="57" applyFill="1" applyBorder="1">
      <alignment/>
      <protection/>
    </xf>
    <xf numFmtId="43" fontId="4" fillId="33" borderId="0" xfId="42" applyNumberFormat="1" applyFont="1" applyFill="1" applyAlignment="1">
      <alignment/>
    </xf>
    <xf numFmtId="43" fontId="4" fillId="33" borderId="0" xfId="57" applyNumberFormat="1" applyFill="1">
      <alignment/>
      <protection/>
    </xf>
    <xf numFmtId="2" fontId="4" fillId="33" borderId="0" xfId="57" applyNumberFormat="1" applyFill="1">
      <alignment/>
      <protection/>
    </xf>
    <xf numFmtId="2" fontId="4" fillId="0" borderId="0" xfId="57" applyNumberFormat="1" applyFill="1">
      <alignment/>
      <protection/>
    </xf>
    <xf numFmtId="2" fontId="4" fillId="0" borderId="0" xfId="57" applyNumberFormat="1">
      <alignment/>
      <protection/>
    </xf>
    <xf numFmtId="9" fontId="4" fillId="33" borderId="0" xfId="60" applyFont="1" applyFill="1" applyAlignment="1">
      <alignment/>
    </xf>
    <xf numFmtId="9" fontId="4" fillId="33" borderId="0" xfId="57" applyNumberFormat="1" applyFill="1">
      <alignment/>
      <protection/>
    </xf>
    <xf numFmtId="193" fontId="4" fillId="0" borderId="0" xfId="42" applyNumberFormat="1" applyFont="1" applyFill="1" applyAlignment="1">
      <alignment/>
    </xf>
    <xf numFmtId="0" fontId="2" fillId="0" borderId="13" xfId="0" applyFont="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quotePrefix="1">
      <alignment/>
    </xf>
    <xf numFmtId="0" fontId="0" fillId="0" borderId="0" xfId="0" applyBorder="1" applyAlignment="1">
      <alignment/>
    </xf>
    <xf numFmtId="0" fontId="0" fillId="0" borderId="17" xfId="0" applyBorder="1" applyAlignment="1">
      <alignment/>
    </xf>
    <xf numFmtId="0" fontId="0" fillId="34" borderId="18" xfId="0" applyFill="1" applyBorder="1" applyAlignment="1">
      <alignment/>
    </xf>
    <xf numFmtId="0" fontId="0" fillId="34" borderId="19" xfId="0" applyFill="1" applyBorder="1" applyAlignment="1">
      <alignment/>
    </xf>
    <xf numFmtId="0" fontId="0" fillId="0" borderId="19" xfId="0" applyBorder="1" applyAlignment="1">
      <alignment/>
    </xf>
    <xf numFmtId="0" fontId="0" fillId="0" borderId="20" xfId="0" applyBorder="1" applyAlignment="1">
      <alignment/>
    </xf>
    <xf numFmtId="0" fontId="0" fillId="35" borderId="13" xfId="0" applyFill="1" applyBorder="1" applyAlignment="1">
      <alignment/>
    </xf>
    <xf numFmtId="0" fontId="2" fillId="35" borderId="14" xfId="0" applyFont="1" applyFill="1" applyBorder="1" applyAlignment="1">
      <alignment horizontal="center"/>
    </xf>
    <xf numFmtId="0" fontId="0" fillId="35" borderId="14" xfId="0" applyFill="1" applyBorder="1" applyAlignment="1">
      <alignment/>
    </xf>
    <xf numFmtId="0" fontId="0" fillId="35" borderId="15" xfId="0" applyFill="1" applyBorder="1" applyAlignment="1">
      <alignment/>
    </xf>
    <xf numFmtId="2" fontId="0" fillId="35" borderId="16" xfId="0" applyNumberFormat="1" applyFill="1" applyBorder="1" applyAlignment="1">
      <alignment horizontal="center"/>
    </xf>
    <xf numFmtId="0" fontId="0" fillId="35" borderId="0" xfId="0" applyFill="1" applyBorder="1" applyAlignment="1">
      <alignment/>
    </xf>
    <xf numFmtId="0" fontId="0" fillId="35" borderId="17" xfId="0" applyFill="1" applyBorder="1" applyAlignment="1">
      <alignment/>
    </xf>
    <xf numFmtId="0" fontId="0" fillId="35" borderId="16" xfId="0" applyFill="1" applyBorder="1" applyAlignment="1">
      <alignment/>
    </xf>
    <xf numFmtId="2" fontId="0" fillId="35" borderId="16" xfId="0" applyNumberFormat="1" applyFill="1" applyBorder="1" applyAlignment="1">
      <alignment/>
    </xf>
    <xf numFmtId="2" fontId="0" fillId="35" borderId="18" xfId="0" applyNumberFormat="1" applyFill="1" applyBorder="1" applyAlignment="1">
      <alignment horizontal="center"/>
    </xf>
    <xf numFmtId="0" fontId="0" fillId="35" borderId="19" xfId="0" applyFill="1" applyBorder="1" applyAlignment="1">
      <alignment/>
    </xf>
    <xf numFmtId="0" fontId="0" fillId="35" borderId="20" xfId="0" applyFill="1" applyBorder="1" applyAlignment="1">
      <alignment/>
    </xf>
    <xf numFmtId="0" fontId="0" fillId="33" borderId="13" xfId="0" applyFill="1" applyBorder="1" applyAlignment="1">
      <alignment horizontal="right"/>
    </xf>
    <xf numFmtId="0" fontId="0" fillId="33" borderId="14" xfId="0" applyFill="1" applyBorder="1" applyAlignment="1">
      <alignment horizontal="center"/>
    </xf>
    <xf numFmtId="0" fontId="2" fillId="33" borderId="14" xfId="0" applyFont="1" applyFill="1" applyBorder="1" applyAlignment="1">
      <alignment horizontal="center"/>
    </xf>
    <xf numFmtId="0" fontId="0" fillId="33" borderId="15" xfId="0" applyFill="1" applyBorder="1" applyAlignment="1">
      <alignment horizontal="center"/>
    </xf>
    <xf numFmtId="0" fontId="2" fillId="33" borderId="16" xfId="0" applyFont="1" applyFill="1" applyBorder="1" applyAlignment="1">
      <alignment horizontal="right"/>
    </xf>
    <xf numFmtId="9" fontId="2" fillId="33" borderId="0" xfId="0" applyNumberFormat="1" applyFont="1" applyFill="1" applyBorder="1" applyAlignment="1">
      <alignment horizontal="center"/>
    </xf>
    <xf numFmtId="0" fontId="2" fillId="33" borderId="0" xfId="0" applyFont="1" applyFill="1" applyBorder="1" applyAlignment="1">
      <alignment horizontal="center"/>
    </xf>
    <xf numFmtId="9" fontId="2" fillId="33" borderId="0" xfId="0" applyNumberFormat="1" applyFont="1" applyFill="1" applyBorder="1" applyAlignment="1" quotePrefix="1">
      <alignment horizontal="center"/>
    </xf>
    <xf numFmtId="9" fontId="2" fillId="33" borderId="17" xfId="0" applyNumberFormat="1" applyFont="1" applyFill="1" applyBorder="1" applyAlignment="1" quotePrefix="1">
      <alignment horizontal="center"/>
    </xf>
    <xf numFmtId="0" fontId="0" fillId="33" borderId="0" xfId="0" applyFill="1" applyBorder="1" applyAlignment="1">
      <alignment horizontal="center"/>
    </xf>
    <xf numFmtId="0" fontId="0" fillId="33" borderId="17" xfId="0" applyFill="1" applyBorder="1" applyAlignment="1">
      <alignment horizontal="center"/>
    </xf>
    <xf numFmtId="0" fontId="2" fillId="33" borderId="18" xfId="0" applyFont="1" applyFill="1" applyBorder="1" applyAlignment="1">
      <alignment horizontal="right"/>
    </xf>
    <xf numFmtId="0" fontId="0" fillId="33" borderId="19" xfId="0" applyFill="1" applyBorder="1" applyAlignment="1">
      <alignment horizontal="center"/>
    </xf>
    <xf numFmtId="0" fontId="0" fillId="33" borderId="20" xfId="0" applyFill="1" applyBorder="1" applyAlignment="1">
      <alignment horizontal="center"/>
    </xf>
    <xf numFmtId="167" fontId="0" fillId="35" borderId="16" xfId="0" applyNumberFormat="1" applyFill="1" applyBorder="1" applyAlignment="1">
      <alignment/>
    </xf>
    <xf numFmtId="168" fontId="0" fillId="35" borderId="16" xfId="60" applyNumberFormat="1" applyFont="1" applyFill="1" applyBorder="1" applyAlignment="1">
      <alignment/>
    </xf>
    <xf numFmtId="0" fontId="0" fillId="35" borderId="18" xfId="0" applyFill="1" applyBorder="1" applyAlignment="1">
      <alignment/>
    </xf>
    <xf numFmtId="0" fontId="0" fillId="36" borderId="16" xfId="0" applyFill="1" applyBorder="1" applyAlignment="1">
      <alignment/>
    </xf>
    <xf numFmtId="0" fontId="2" fillId="35" borderId="13" xfId="0" applyFont="1" applyFill="1" applyBorder="1" applyAlignment="1">
      <alignment/>
    </xf>
    <xf numFmtId="9" fontId="0" fillId="35" borderId="16" xfId="60" applyFont="1" applyFill="1" applyBorder="1" applyAlignment="1">
      <alignment/>
    </xf>
    <xf numFmtId="1" fontId="0" fillId="35" borderId="18" xfId="0" applyNumberFormat="1" applyFill="1" applyBorder="1" applyAlignment="1">
      <alignment/>
    </xf>
    <xf numFmtId="2" fontId="0" fillId="35" borderId="18" xfId="0" applyNumberFormat="1" applyFill="1" applyBorder="1" applyAlignment="1">
      <alignment/>
    </xf>
    <xf numFmtId="0" fontId="0" fillId="36" borderId="18" xfId="0" applyFill="1" applyBorder="1" applyAlignment="1">
      <alignment/>
    </xf>
    <xf numFmtId="0" fontId="2" fillId="37" borderId="10" xfId="0" applyFont="1" applyFill="1" applyBorder="1" applyAlignment="1">
      <alignment/>
    </xf>
    <xf numFmtId="0" fontId="0" fillId="37" borderId="12" xfId="0" applyFill="1" applyBorder="1" applyAlignment="1">
      <alignment/>
    </xf>
    <xf numFmtId="0" fontId="0" fillId="37" borderId="13" xfId="0" applyFill="1" applyBorder="1" applyAlignment="1">
      <alignment/>
    </xf>
    <xf numFmtId="0" fontId="0" fillId="37" borderId="14" xfId="0" applyFill="1" applyBorder="1" applyAlignment="1">
      <alignment/>
    </xf>
    <xf numFmtId="0" fontId="0" fillId="37" borderId="15" xfId="0" applyFill="1" applyBorder="1" applyAlignment="1">
      <alignment/>
    </xf>
    <xf numFmtId="0" fontId="0" fillId="37" borderId="16" xfId="0" applyFill="1" applyBorder="1" applyAlignment="1">
      <alignment/>
    </xf>
    <xf numFmtId="0" fontId="0" fillId="37" borderId="0" xfId="0" applyFill="1" applyBorder="1" applyAlignment="1">
      <alignment/>
    </xf>
    <xf numFmtId="0" fontId="0" fillId="37" borderId="17" xfId="0" applyFill="1" applyBorder="1" applyAlignment="1">
      <alignment/>
    </xf>
    <xf numFmtId="0" fontId="0" fillId="37" borderId="18" xfId="0" applyFill="1" applyBorder="1" applyAlignment="1">
      <alignment/>
    </xf>
    <xf numFmtId="0" fontId="0" fillId="37" borderId="19" xfId="0" applyFill="1" applyBorder="1" applyAlignment="1">
      <alignment/>
    </xf>
    <xf numFmtId="0" fontId="0" fillId="37" borderId="20" xfId="0" applyFill="1" applyBorder="1" applyAlignment="1">
      <alignment/>
    </xf>
    <xf numFmtId="0" fontId="0" fillId="36" borderId="0" xfId="0" applyFill="1" applyBorder="1" applyAlignment="1">
      <alignment/>
    </xf>
    <xf numFmtId="0" fontId="0" fillId="36" borderId="17" xfId="0" applyFill="1" applyBorder="1" applyAlignment="1">
      <alignment/>
    </xf>
    <xf numFmtId="9" fontId="0" fillId="37" borderId="18" xfId="60" applyFont="1" applyFill="1" applyBorder="1" applyAlignment="1">
      <alignment/>
    </xf>
    <xf numFmtId="0" fontId="2" fillId="37" borderId="21" xfId="0" applyFont="1" applyFill="1" applyBorder="1" applyAlignment="1">
      <alignment/>
    </xf>
    <xf numFmtId="0" fontId="0" fillId="38" borderId="15" xfId="0" applyFill="1" applyBorder="1" applyAlignment="1">
      <alignment/>
    </xf>
    <xf numFmtId="0" fontId="0" fillId="38" borderId="20" xfId="0" applyFill="1" applyBorder="1" applyAlignment="1">
      <alignment/>
    </xf>
    <xf numFmtId="0" fontId="0" fillId="38" borderId="14" xfId="0" applyFill="1" applyBorder="1" applyAlignment="1">
      <alignment/>
    </xf>
    <xf numFmtId="0" fontId="0" fillId="38" borderId="19" xfId="0" applyFill="1" applyBorder="1" applyAlignment="1">
      <alignment/>
    </xf>
    <xf numFmtId="0" fontId="0" fillId="38" borderId="0" xfId="0" applyFill="1" applyBorder="1" applyAlignment="1">
      <alignment/>
    </xf>
    <xf numFmtId="0" fontId="0" fillId="38" borderId="17" xfId="0" applyFill="1" applyBorder="1" applyAlignment="1">
      <alignment/>
    </xf>
    <xf numFmtId="0" fontId="2" fillId="38" borderId="10" xfId="0" applyFont="1" applyFill="1" applyBorder="1" applyAlignment="1">
      <alignment/>
    </xf>
    <xf numFmtId="0" fontId="0" fillId="38" borderId="12" xfId="0" applyFill="1" applyBorder="1" applyAlignment="1">
      <alignment/>
    </xf>
    <xf numFmtId="0" fontId="0" fillId="38" borderId="13" xfId="0" applyFill="1" applyBorder="1" applyAlignment="1">
      <alignment/>
    </xf>
    <xf numFmtId="0" fontId="0" fillId="38" borderId="16" xfId="0" applyFill="1" applyBorder="1" applyAlignment="1">
      <alignment/>
    </xf>
    <xf numFmtId="0" fontId="0" fillId="38" borderId="18" xfId="0" applyFill="1" applyBorder="1" applyAlignment="1">
      <alignment/>
    </xf>
    <xf numFmtId="0" fontId="0" fillId="38" borderId="10" xfId="0" applyFill="1" applyBorder="1" applyAlignment="1">
      <alignment/>
    </xf>
    <xf numFmtId="193" fontId="2" fillId="34" borderId="13" xfId="42" applyNumberFormat="1" applyFont="1" applyFill="1" applyBorder="1" applyAlignment="1">
      <alignment/>
    </xf>
    <xf numFmtId="193" fontId="2" fillId="34" borderId="18" xfId="42" applyNumberFormat="1" applyFont="1" applyFill="1" applyBorder="1" applyAlignment="1">
      <alignment/>
    </xf>
    <xf numFmtId="193" fontId="0" fillId="36" borderId="13" xfId="42" applyNumberFormat="1" applyFont="1" applyFill="1" applyBorder="1" applyAlignment="1">
      <alignment/>
    </xf>
    <xf numFmtId="193" fontId="0" fillId="36" borderId="18" xfId="42" applyNumberFormat="1" applyFont="1" applyFill="1" applyBorder="1" applyAlignment="1">
      <alignment/>
    </xf>
    <xf numFmtId="0" fontId="9" fillId="0" borderId="0" xfId="0" applyFont="1" applyAlignment="1">
      <alignment/>
    </xf>
    <xf numFmtId="167" fontId="0" fillId="38" borderId="0" xfId="0" applyNumberFormat="1" applyFill="1" applyBorder="1" applyAlignment="1">
      <alignment/>
    </xf>
    <xf numFmtId="167" fontId="0" fillId="36" borderId="16" xfId="0" applyNumberFormat="1" applyFill="1" applyBorder="1" applyAlignment="1">
      <alignment/>
    </xf>
    <xf numFmtId="0" fontId="0" fillId="38" borderId="13" xfId="0" applyFill="1" applyBorder="1" applyAlignment="1">
      <alignment horizontal="right"/>
    </xf>
    <xf numFmtId="43" fontId="0" fillId="36" borderId="13" xfId="42" applyFont="1" applyFill="1" applyBorder="1" applyAlignment="1">
      <alignment/>
    </xf>
    <xf numFmtId="43" fontId="0" fillId="36" borderId="18" xfId="42" applyFont="1" applyFill="1" applyBorder="1" applyAlignment="1">
      <alignment/>
    </xf>
    <xf numFmtId="193" fontId="0" fillId="35" borderId="16" xfId="0" applyNumberFormat="1" applyFill="1" applyBorder="1" applyAlignment="1">
      <alignment/>
    </xf>
    <xf numFmtId="43" fontId="0" fillId="35" borderId="16" xfId="42" applyFont="1" applyFill="1" applyBorder="1" applyAlignment="1">
      <alignment/>
    </xf>
    <xf numFmtId="193" fontId="0" fillId="35" borderId="16" xfId="42" applyNumberFormat="1" applyFont="1" applyFill="1" applyBorder="1" applyAlignment="1">
      <alignment/>
    </xf>
    <xf numFmtId="193" fontId="0" fillId="36" borderId="16" xfId="42" applyNumberFormat="1" applyFont="1" applyFill="1"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11" fillId="0" borderId="0" xfId="0" applyFont="1" applyAlignment="1">
      <alignment/>
    </xf>
    <xf numFmtId="0" fontId="12" fillId="0" borderId="0" xfId="0" applyFont="1" applyAlignment="1">
      <alignment/>
    </xf>
    <xf numFmtId="167" fontId="0" fillId="0" borderId="0" xfId="0" applyNumberFormat="1" applyAlignment="1">
      <alignment/>
    </xf>
    <xf numFmtId="9" fontId="0" fillId="0" borderId="0" xfId="60" applyAlignment="1">
      <alignment/>
    </xf>
    <xf numFmtId="1" fontId="0" fillId="0" borderId="0" xfId="0" applyNumberFormat="1" applyAlignment="1">
      <alignment/>
    </xf>
    <xf numFmtId="0" fontId="0" fillId="0" borderId="0" xfId="0" applyFont="1" applyAlignment="1">
      <alignment/>
    </xf>
    <xf numFmtId="0" fontId="4" fillId="0" borderId="0" xfId="57" applyFont="1">
      <alignment/>
      <protection/>
    </xf>
    <xf numFmtId="2" fontId="4" fillId="38" borderId="0" xfId="57" applyNumberFormat="1" applyFill="1">
      <alignment/>
      <protection/>
    </xf>
    <xf numFmtId="0" fontId="4" fillId="38" borderId="0" xfId="57" applyFont="1" applyFill="1">
      <alignment/>
      <protection/>
    </xf>
    <xf numFmtId="9" fontId="4" fillId="38" borderId="0" xfId="60" applyFont="1" applyFill="1" applyAlignment="1">
      <alignment/>
    </xf>
    <xf numFmtId="9" fontId="4" fillId="0" borderId="0" xfId="60" applyFont="1" applyAlignment="1">
      <alignment/>
    </xf>
    <xf numFmtId="1" fontId="4" fillId="39" borderId="0" xfId="57" applyNumberFormat="1" applyFill="1">
      <alignment/>
      <protection/>
    </xf>
    <xf numFmtId="2" fontId="4" fillId="39" borderId="0" xfId="57" applyNumberFormat="1" applyFill="1">
      <alignment/>
      <protection/>
    </xf>
    <xf numFmtId="0" fontId="4" fillId="39" borderId="0" xfId="57" applyFont="1" applyFill="1">
      <alignment/>
      <protection/>
    </xf>
    <xf numFmtId="0" fontId="4" fillId="34" borderId="0" xfId="57" applyFont="1" applyFill="1">
      <alignment/>
      <protection/>
    </xf>
    <xf numFmtId="167" fontId="4" fillId="33" borderId="0" xfId="57" applyNumberFormat="1" applyFill="1">
      <alignment/>
      <protection/>
    </xf>
    <xf numFmtId="0" fontId="8" fillId="36" borderId="0" xfId="57" applyFont="1" applyFill="1">
      <alignment/>
      <protection/>
    </xf>
    <xf numFmtId="2" fontId="8" fillId="36" borderId="0" xfId="57" applyNumberFormat="1" applyFont="1" applyFill="1">
      <alignment/>
      <protection/>
    </xf>
    <xf numFmtId="0" fontId="8" fillId="0" borderId="0" xfId="57" applyFont="1">
      <alignment/>
      <protection/>
    </xf>
    <xf numFmtId="9" fontId="4" fillId="33" borderId="0" xfId="60" applyNumberFormat="1" applyFont="1" applyFill="1" applyAlignment="1">
      <alignment/>
    </xf>
    <xf numFmtId="0" fontId="4" fillId="40" borderId="0" xfId="57" applyFont="1" applyFill="1">
      <alignment/>
      <protection/>
    </xf>
    <xf numFmtId="2" fontId="4" fillId="40" borderId="0" xfId="57" applyNumberFormat="1" applyFont="1" applyFill="1">
      <alignment/>
      <protection/>
    </xf>
    <xf numFmtId="9" fontId="4" fillId="0" borderId="0" xfId="60" applyNumberFormat="1" applyFont="1" applyAlignment="1">
      <alignment/>
    </xf>
    <xf numFmtId="2" fontId="4" fillId="38" borderId="0" xfId="57" applyNumberFormat="1" applyFont="1" applyFill="1">
      <alignment/>
      <protection/>
    </xf>
    <xf numFmtId="0" fontId="4" fillId="41" borderId="0" xfId="57" applyFill="1">
      <alignment/>
      <protection/>
    </xf>
    <xf numFmtId="1" fontId="0" fillId="35" borderId="16" xfId="0" applyNumberFormat="1" applyFill="1" applyBorder="1" applyAlignment="1">
      <alignment/>
    </xf>
    <xf numFmtId="9" fontId="0" fillId="36" borderId="16" xfId="60" applyFont="1" applyFill="1" applyBorder="1" applyAlignment="1">
      <alignment/>
    </xf>
    <xf numFmtId="0" fontId="4" fillId="0" borderId="0" xfId="57" applyFill="1" applyAlignment="1">
      <alignment wrapText="1"/>
      <protection/>
    </xf>
    <xf numFmtId="0" fontId="4" fillId="0" borderId="0" xfId="57" applyAlignment="1">
      <alignment/>
      <protection/>
    </xf>
    <xf numFmtId="0" fontId="4" fillId="0" borderId="0" xfId="57" applyFont="1" applyAlignment="1">
      <alignment wrapText="1"/>
      <protection/>
    </xf>
    <xf numFmtId="0" fontId="4" fillId="0" borderId="0" xfId="57" applyAlignment="1">
      <alignment wrapText="1"/>
      <protection/>
    </xf>
    <xf numFmtId="0" fontId="0" fillId="0" borderId="0" xfId="0" applyFont="1" applyAlignment="1">
      <alignment wrapText="1"/>
    </xf>
    <xf numFmtId="0" fontId="0" fillId="0" borderId="0" xfId="0"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ny_liczeniePD" xfId="57"/>
    <cellStyle name="Note" xfId="58"/>
    <cellStyle name="Output" xfId="59"/>
    <cellStyle name="Percent" xfId="60"/>
    <cellStyle name="Title" xfId="61"/>
    <cellStyle name="Total" xfId="62"/>
    <cellStyle name="Warning Text" xfId="63"/>
  </cellStyles>
  <dxfs count="2">
    <dxf>
      <font>
        <b/>
        <i val="0"/>
        <color indexed="10"/>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
          <c:y val="0.05175"/>
          <c:w val="0.8"/>
          <c:h val="0.89625"/>
        </c:manualLayout>
      </c:layout>
      <c:lineChart>
        <c:grouping val="standard"/>
        <c:varyColors val="0"/>
        <c:ser>
          <c:idx val="0"/>
          <c:order val="0"/>
          <c:tx>
            <c:strRef>
              <c:f>cena!$A$4</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cena!$B$4:$F$4</c:f>
              <c:numCache/>
            </c:numRef>
          </c:val>
          <c:smooth val="0"/>
        </c:ser>
        <c:ser>
          <c:idx val="1"/>
          <c:order val="1"/>
          <c:tx>
            <c:strRef>
              <c:f>cena!$A$5</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cena!$B$5:$F$5</c:f>
              <c:numCache/>
            </c:numRef>
          </c:val>
          <c:smooth val="0"/>
        </c:ser>
        <c:marker val="1"/>
        <c:axId val="14253762"/>
        <c:axId val="61174995"/>
      </c:lineChart>
      <c:catAx>
        <c:axId val="14253762"/>
        <c:scaling>
          <c:orientation val="minMax"/>
        </c:scaling>
        <c:axPos val="b"/>
        <c:delete val="0"/>
        <c:numFmt formatCode="General" sourceLinked="1"/>
        <c:majorTickMark val="out"/>
        <c:minorTickMark val="none"/>
        <c:tickLblPos val="nextTo"/>
        <c:spPr>
          <a:ln w="3175">
            <a:solidFill>
              <a:srgbClr val="000000"/>
            </a:solidFill>
          </a:ln>
        </c:spPr>
        <c:crossAx val="61174995"/>
        <c:crosses val="autoZero"/>
        <c:auto val="1"/>
        <c:lblOffset val="100"/>
        <c:tickLblSkip val="1"/>
        <c:noMultiLvlLbl val="0"/>
      </c:catAx>
      <c:valAx>
        <c:axId val="6117499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4253762"/>
        <c:crossesAt val="1"/>
        <c:crossBetween val="between"/>
        <c:dispUnits/>
      </c:valAx>
      <c:spPr>
        <a:solidFill>
          <a:srgbClr val="C0C0C0"/>
        </a:solidFill>
        <a:ln w="12700">
          <a:solidFill>
            <a:srgbClr val="808080"/>
          </a:solidFill>
        </a:ln>
      </c:spPr>
    </c:plotArea>
    <c:legend>
      <c:legendPos val="r"/>
      <c:layout>
        <c:manualLayout>
          <c:xMode val="edge"/>
          <c:yMode val="edge"/>
          <c:x val="0.8405"/>
          <c:y val="0.34975"/>
          <c:w val="0.157"/>
          <c:h val="0.191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25"/>
          <c:y val="0.04675"/>
          <c:w val="0.8025"/>
          <c:h val="0.90125"/>
        </c:manualLayout>
      </c:layout>
      <c:lineChart>
        <c:grouping val="standard"/>
        <c:varyColors val="0"/>
        <c:ser>
          <c:idx val="0"/>
          <c:order val="0"/>
          <c:tx>
            <c:strRef>
              <c:f>cena!$A$19</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cena!$B$19:$F$19</c:f>
              <c:numCache/>
            </c:numRef>
          </c:val>
          <c:smooth val="0"/>
        </c:ser>
        <c:ser>
          <c:idx val="1"/>
          <c:order val="1"/>
          <c:tx>
            <c:strRef>
              <c:f>cena!$A$20</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cena!$B$20:$F$20</c:f>
              <c:numCache/>
            </c:numRef>
          </c:val>
          <c:smooth val="0"/>
        </c:ser>
        <c:marker val="1"/>
        <c:axId val="13704044"/>
        <c:axId val="56227533"/>
      </c:lineChart>
      <c:catAx>
        <c:axId val="13704044"/>
        <c:scaling>
          <c:orientation val="minMax"/>
        </c:scaling>
        <c:axPos val="b"/>
        <c:delete val="0"/>
        <c:numFmt formatCode="General" sourceLinked="1"/>
        <c:majorTickMark val="out"/>
        <c:minorTickMark val="none"/>
        <c:tickLblPos val="nextTo"/>
        <c:spPr>
          <a:ln w="3175">
            <a:solidFill>
              <a:srgbClr val="000000"/>
            </a:solidFill>
          </a:ln>
        </c:spPr>
        <c:crossAx val="56227533"/>
        <c:crosses val="autoZero"/>
        <c:auto val="1"/>
        <c:lblOffset val="100"/>
        <c:tickLblSkip val="1"/>
        <c:noMultiLvlLbl val="0"/>
      </c:catAx>
      <c:valAx>
        <c:axId val="5622753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3704044"/>
        <c:crossesAt val="1"/>
        <c:crossBetween val="between"/>
        <c:dispUnits/>
      </c:valAx>
      <c:spPr>
        <a:solidFill>
          <a:srgbClr val="C0C0C0"/>
        </a:solidFill>
        <a:ln w="12700">
          <a:solidFill>
            <a:srgbClr val="808080"/>
          </a:solidFill>
        </a:ln>
      </c:spPr>
    </c:plotArea>
    <c:legend>
      <c:legendPos val="r"/>
      <c:layout>
        <c:manualLayout>
          <c:xMode val="edge"/>
          <c:yMode val="edge"/>
          <c:x val="0.841"/>
          <c:y val="0.35325"/>
          <c:w val="0.15675"/>
          <c:h val="0.195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5"/>
          <c:y val="0.04625"/>
          <c:w val="0.8035"/>
          <c:h val="0.902"/>
        </c:manualLayout>
      </c:layout>
      <c:lineChart>
        <c:grouping val="standard"/>
        <c:varyColors val="0"/>
        <c:ser>
          <c:idx val="0"/>
          <c:order val="0"/>
          <c:tx>
            <c:strRef>
              <c:f>cena!$A$34</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cena!$B$34:$F$34</c:f>
              <c:numCache/>
            </c:numRef>
          </c:val>
          <c:smooth val="0"/>
        </c:ser>
        <c:ser>
          <c:idx val="1"/>
          <c:order val="1"/>
          <c:tx>
            <c:strRef>
              <c:f>cena!$A$35</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cena!$B$35:$F$35</c:f>
              <c:numCache/>
            </c:numRef>
          </c:val>
          <c:smooth val="0"/>
        </c:ser>
        <c:marker val="1"/>
        <c:axId val="36285750"/>
        <c:axId val="58136295"/>
      </c:lineChart>
      <c:catAx>
        <c:axId val="36285750"/>
        <c:scaling>
          <c:orientation val="minMax"/>
        </c:scaling>
        <c:axPos val="b"/>
        <c:delete val="0"/>
        <c:numFmt formatCode="General" sourceLinked="1"/>
        <c:majorTickMark val="out"/>
        <c:minorTickMark val="none"/>
        <c:tickLblPos val="nextTo"/>
        <c:spPr>
          <a:ln w="3175">
            <a:solidFill>
              <a:srgbClr val="000000"/>
            </a:solidFill>
          </a:ln>
        </c:spPr>
        <c:crossAx val="58136295"/>
        <c:crosses val="autoZero"/>
        <c:auto val="1"/>
        <c:lblOffset val="100"/>
        <c:tickLblSkip val="1"/>
        <c:noMultiLvlLbl val="0"/>
      </c:catAx>
      <c:valAx>
        <c:axId val="5813629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6285750"/>
        <c:crossesAt val="1"/>
        <c:crossBetween val="between"/>
        <c:dispUnits/>
      </c:valAx>
      <c:spPr>
        <a:solidFill>
          <a:srgbClr val="C0C0C0"/>
        </a:solidFill>
        <a:ln w="12700">
          <a:solidFill>
            <a:srgbClr val="808080"/>
          </a:solidFill>
        </a:ln>
      </c:spPr>
    </c:plotArea>
    <c:legend>
      <c:legendPos val="r"/>
      <c:layout>
        <c:manualLayout>
          <c:xMode val="edge"/>
          <c:yMode val="edge"/>
          <c:x val="0.84125"/>
          <c:y val="0.35675"/>
          <c:w val="0.15625"/>
          <c:h val="0.194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5"/>
          <c:y val="0.05025"/>
          <c:w val="0.8035"/>
          <c:h val="0.89475"/>
        </c:manualLayout>
      </c:layout>
      <c:lineChart>
        <c:grouping val="standard"/>
        <c:varyColors val="0"/>
        <c:ser>
          <c:idx val="0"/>
          <c:order val="0"/>
          <c:tx>
            <c:strRef>
              <c:f>cena!$A$62</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cena!$B$62:$F$62</c:f>
              <c:numCache/>
            </c:numRef>
          </c:val>
          <c:smooth val="0"/>
        </c:ser>
        <c:ser>
          <c:idx val="1"/>
          <c:order val="1"/>
          <c:tx>
            <c:strRef>
              <c:f>cena!$A$63</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cena!$B$63:$F$63</c:f>
              <c:numCache/>
            </c:numRef>
          </c:val>
          <c:smooth val="0"/>
        </c:ser>
        <c:marker val="1"/>
        <c:axId val="53464608"/>
        <c:axId val="11419425"/>
      </c:lineChart>
      <c:catAx>
        <c:axId val="53464608"/>
        <c:scaling>
          <c:orientation val="minMax"/>
        </c:scaling>
        <c:axPos val="b"/>
        <c:delete val="0"/>
        <c:numFmt formatCode="General" sourceLinked="1"/>
        <c:majorTickMark val="out"/>
        <c:minorTickMark val="none"/>
        <c:tickLblPos val="nextTo"/>
        <c:spPr>
          <a:ln w="3175">
            <a:solidFill>
              <a:srgbClr val="000000"/>
            </a:solidFill>
          </a:ln>
        </c:spPr>
        <c:crossAx val="11419425"/>
        <c:crosses val="autoZero"/>
        <c:auto val="1"/>
        <c:lblOffset val="100"/>
        <c:tickLblSkip val="1"/>
        <c:noMultiLvlLbl val="0"/>
      </c:catAx>
      <c:valAx>
        <c:axId val="1141942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3464608"/>
        <c:crossesAt val="1"/>
        <c:crossBetween val="between"/>
        <c:dispUnits/>
      </c:valAx>
      <c:spPr>
        <a:solidFill>
          <a:srgbClr val="C0C0C0"/>
        </a:solidFill>
        <a:ln w="12700">
          <a:solidFill>
            <a:srgbClr val="808080"/>
          </a:solidFill>
        </a:ln>
      </c:spPr>
    </c:plotArea>
    <c:legend>
      <c:legendPos val="r"/>
      <c:layout>
        <c:manualLayout>
          <c:xMode val="edge"/>
          <c:yMode val="edge"/>
          <c:x val="0.84125"/>
          <c:y val="0.35675"/>
          <c:w val="0.15625"/>
          <c:h val="0.194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75"/>
          <c:y val="0.05025"/>
          <c:w val="0.811"/>
          <c:h val="0.89475"/>
        </c:manualLayout>
      </c:layout>
      <c:lineChart>
        <c:grouping val="standard"/>
        <c:varyColors val="0"/>
        <c:ser>
          <c:idx val="0"/>
          <c:order val="0"/>
          <c:tx>
            <c:strRef>
              <c:f>cena!$A$78</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cena!$B$78:$F$78</c:f>
              <c:numCache/>
            </c:numRef>
          </c:val>
          <c:smooth val="0"/>
        </c:ser>
        <c:ser>
          <c:idx val="1"/>
          <c:order val="1"/>
          <c:tx>
            <c:strRef>
              <c:f>cena!$A$79</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cena!$B$79:$F$79</c:f>
              <c:numCache/>
            </c:numRef>
          </c:val>
          <c:smooth val="0"/>
        </c:ser>
        <c:marker val="1"/>
        <c:axId val="35665962"/>
        <c:axId val="52558203"/>
      </c:lineChart>
      <c:catAx>
        <c:axId val="35665962"/>
        <c:scaling>
          <c:orientation val="minMax"/>
        </c:scaling>
        <c:axPos val="b"/>
        <c:delete val="0"/>
        <c:numFmt formatCode="General" sourceLinked="1"/>
        <c:majorTickMark val="out"/>
        <c:minorTickMark val="none"/>
        <c:tickLblPos val="nextTo"/>
        <c:spPr>
          <a:ln w="3175">
            <a:solidFill>
              <a:srgbClr val="000000"/>
            </a:solidFill>
          </a:ln>
        </c:spPr>
        <c:crossAx val="52558203"/>
        <c:crosses val="autoZero"/>
        <c:auto val="1"/>
        <c:lblOffset val="100"/>
        <c:tickLblSkip val="1"/>
        <c:noMultiLvlLbl val="0"/>
      </c:catAx>
      <c:valAx>
        <c:axId val="5255820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5665962"/>
        <c:crossesAt val="1"/>
        <c:crossBetween val="between"/>
        <c:dispUnits/>
      </c:valAx>
      <c:spPr>
        <a:solidFill>
          <a:srgbClr val="C0C0C0"/>
        </a:solidFill>
        <a:ln w="12700">
          <a:solidFill>
            <a:srgbClr val="808080"/>
          </a:solidFill>
        </a:ln>
      </c:spPr>
    </c:plotArea>
    <c:legend>
      <c:legendPos val="r"/>
      <c:layout>
        <c:manualLayout>
          <c:xMode val="edge"/>
          <c:yMode val="edge"/>
          <c:x val="0.84125"/>
          <c:y val="0.35675"/>
          <c:w val="0.15625"/>
          <c:h val="0.194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5"/>
          <c:y val="0.05025"/>
          <c:w val="0.8035"/>
          <c:h val="0.89475"/>
        </c:manualLayout>
      </c:layout>
      <c:lineChart>
        <c:grouping val="standard"/>
        <c:varyColors val="0"/>
        <c:ser>
          <c:idx val="0"/>
          <c:order val="0"/>
          <c:tx>
            <c:strRef>
              <c:f>cena!$A$93</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cena!$B$93:$F$93</c:f>
              <c:numCache/>
            </c:numRef>
          </c:val>
          <c:smooth val="0"/>
        </c:ser>
        <c:ser>
          <c:idx val="1"/>
          <c:order val="1"/>
          <c:tx>
            <c:strRef>
              <c:f>cena!$A$94</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cena!$B$94:$F$94</c:f>
              <c:numCache/>
            </c:numRef>
          </c:val>
          <c:smooth val="0"/>
        </c:ser>
        <c:marker val="1"/>
        <c:axId val="3261780"/>
        <c:axId val="29356021"/>
      </c:lineChart>
      <c:catAx>
        <c:axId val="3261780"/>
        <c:scaling>
          <c:orientation val="minMax"/>
        </c:scaling>
        <c:axPos val="b"/>
        <c:delete val="0"/>
        <c:numFmt formatCode="General" sourceLinked="1"/>
        <c:majorTickMark val="out"/>
        <c:minorTickMark val="none"/>
        <c:tickLblPos val="nextTo"/>
        <c:spPr>
          <a:ln w="3175">
            <a:solidFill>
              <a:srgbClr val="000000"/>
            </a:solidFill>
          </a:ln>
        </c:spPr>
        <c:crossAx val="29356021"/>
        <c:crosses val="autoZero"/>
        <c:auto val="1"/>
        <c:lblOffset val="100"/>
        <c:tickLblSkip val="1"/>
        <c:noMultiLvlLbl val="0"/>
      </c:catAx>
      <c:valAx>
        <c:axId val="2935602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261780"/>
        <c:crossesAt val="1"/>
        <c:crossBetween val="between"/>
        <c:dispUnits/>
      </c:valAx>
      <c:spPr>
        <a:solidFill>
          <a:srgbClr val="C0C0C0"/>
        </a:solidFill>
        <a:ln w="12700">
          <a:solidFill>
            <a:srgbClr val="808080"/>
          </a:solidFill>
        </a:ln>
      </c:spPr>
    </c:plotArea>
    <c:legend>
      <c:legendPos val="r"/>
      <c:layout>
        <c:manualLayout>
          <c:xMode val="edge"/>
          <c:yMode val="edge"/>
          <c:x val="0.84125"/>
          <c:y val="0.35675"/>
          <c:w val="0.15625"/>
          <c:h val="0.194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5"/>
          <c:y val="0.05025"/>
          <c:w val="0.8035"/>
          <c:h val="0.89475"/>
        </c:manualLayout>
      </c:layout>
      <c:lineChart>
        <c:grouping val="standard"/>
        <c:varyColors val="0"/>
        <c:ser>
          <c:idx val="0"/>
          <c:order val="0"/>
          <c:tx>
            <c:strRef>
              <c:f>cena!$A$107</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cena!$B$107:$F$107</c:f>
              <c:numCache/>
            </c:numRef>
          </c:val>
          <c:smooth val="0"/>
        </c:ser>
        <c:ser>
          <c:idx val="1"/>
          <c:order val="1"/>
          <c:tx>
            <c:strRef>
              <c:f>cena!$A$108</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cena!$B$108:$F$108</c:f>
              <c:numCache/>
            </c:numRef>
          </c:val>
          <c:smooth val="0"/>
        </c:ser>
        <c:marker val="1"/>
        <c:axId val="62877598"/>
        <c:axId val="29027471"/>
      </c:lineChart>
      <c:catAx>
        <c:axId val="62877598"/>
        <c:scaling>
          <c:orientation val="minMax"/>
        </c:scaling>
        <c:axPos val="b"/>
        <c:delete val="0"/>
        <c:numFmt formatCode="General" sourceLinked="1"/>
        <c:majorTickMark val="out"/>
        <c:minorTickMark val="none"/>
        <c:tickLblPos val="nextTo"/>
        <c:spPr>
          <a:ln w="3175">
            <a:solidFill>
              <a:srgbClr val="000000"/>
            </a:solidFill>
          </a:ln>
        </c:spPr>
        <c:crossAx val="29027471"/>
        <c:crosses val="autoZero"/>
        <c:auto val="1"/>
        <c:lblOffset val="100"/>
        <c:tickLblSkip val="1"/>
        <c:noMultiLvlLbl val="0"/>
      </c:catAx>
      <c:valAx>
        <c:axId val="2902747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2877598"/>
        <c:crossesAt val="1"/>
        <c:crossBetween val="between"/>
        <c:dispUnits/>
      </c:valAx>
      <c:spPr>
        <a:solidFill>
          <a:srgbClr val="C0C0C0"/>
        </a:solidFill>
        <a:ln w="12700">
          <a:solidFill>
            <a:srgbClr val="808080"/>
          </a:solidFill>
        </a:ln>
      </c:spPr>
    </c:plotArea>
    <c:legend>
      <c:legendPos val="r"/>
      <c:layout>
        <c:manualLayout>
          <c:xMode val="edge"/>
          <c:yMode val="edge"/>
          <c:x val="0.84125"/>
          <c:y val="0.35675"/>
          <c:w val="0.15625"/>
          <c:h val="0.194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75"/>
          <c:y val="0.05025"/>
          <c:w val="0.78825"/>
          <c:h val="0.89475"/>
        </c:manualLayout>
      </c:layout>
      <c:lineChart>
        <c:grouping val="standard"/>
        <c:varyColors val="0"/>
        <c:ser>
          <c:idx val="0"/>
          <c:order val="0"/>
          <c:tx>
            <c:strRef>
              <c:f>cena!$A$48</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cena!$B$48:$F$48</c:f>
              <c:numCache/>
            </c:numRef>
          </c:val>
          <c:smooth val="0"/>
        </c:ser>
        <c:ser>
          <c:idx val="1"/>
          <c:order val="1"/>
          <c:tx>
            <c:strRef>
              <c:f>cena!$A$49</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cena!$B$49:$F$49</c:f>
              <c:numCache/>
            </c:numRef>
          </c:val>
          <c:smooth val="0"/>
        </c:ser>
        <c:marker val="1"/>
        <c:axId val="59920648"/>
        <c:axId val="2414921"/>
      </c:lineChart>
      <c:catAx>
        <c:axId val="59920648"/>
        <c:scaling>
          <c:orientation val="minMax"/>
        </c:scaling>
        <c:axPos val="b"/>
        <c:delete val="0"/>
        <c:numFmt formatCode="General" sourceLinked="1"/>
        <c:majorTickMark val="out"/>
        <c:minorTickMark val="none"/>
        <c:tickLblPos val="nextTo"/>
        <c:spPr>
          <a:ln w="3175">
            <a:solidFill>
              <a:srgbClr val="000000"/>
            </a:solidFill>
          </a:ln>
        </c:spPr>
        <c:crossAx val="2414921"/>
        <c:crosses val="autoZero"/>
        <c:auto val="1"/>
        <c:lblOffset val="100"/>
        <c:tickLblSkip val="1"/>
        <c:noMultiLvlLbl val="0"/>
      </c:catAx>
      <c:valAx>
        <c:axId val="241492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9920648"/>
        <c:crossesAt val="1"/>
        <c:crossBetween val="between"/>
        <c:dispUnits/>
      </c:valAx>
      <c:spPr>
        <a:solidFill>
          <a:srgbClr val="C0C0C0"/>
        </a:solidFill>
        <a:ln w="12700">
          <a:solidFill>
            <a:srgbClr val="808080"/>
          </a:solidFill>
        </a:ln>
      </c:spPr>
    </c:plotArea>
    <c:legend>
      <c:legendPos val="r"/>
      <c:layout>
        <c:manualLayout>
          <c:xMode val="edge"/>
          <c:yMode val="edge"/>
          <c:x val="0.84125"/>
          <c:y val="0.35675"/>
          <c:w val="0.15625"/>
          <c:h val="0.194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133350</xdr:colOff>
      <xdr:row>1</xdr:row>
      <xdr:rowOff>123825</xdr:rowOff>
    </xdr:from>
    <xdr:to>
      <xdr:col>13</xdr:col>
      <xdr:colOff>504825</xdr:colOff>
      <xdr:row>13</xdr:row>
      <xdr:rowOff>9525</xdr:rowOff>
    </xdr:to>
    <xdr:graphicFrame>
      <xdr:nvGraphicFramePr>
        <xdr:cNvPr id="1" name="Chart 1"/>
        <xdr:cNvGraphicFramePr/>
      </xdr:nvGraphicFramePr>
      <xdr:xfrm>
        <a:off x="2876550" y="285750"/>
        <a:ext cx="4029075" cy="1828800"/>
      </xdr:xfrm>
      <a:graphic>
        <a:graphicData uri="http://schemas.openxmlformats.org/drawingml/2006/chart">
          <c:chart xmlns:c="http://schemas.openxmlformats.org/drawingml/2006/chart" r:id="rId1"/>
        </a:graphicData>
      </a:graphic>
    </xdr:graphicFrame>
    <xdr:clientData/>
  </xdr:twoCellAnchor>
  <xdr:twoCellAnchor>
    <xdr:from>
      <xdr:col>7</xdr:col>
      <xdr:colOff>142875</xdr:colOff>
      <xdr:row>16</xdr:row>
      <xdr:rowOff>95250</xdr:rowOff>
    </xdr:from>
    <xdr:to>
      <xdr:col>13</xdr:col>
      <xdr:colOff>523875</xdr:colOff>
      <xdr:row>27</xdr:row>
      <xdr:rowOff>152400</xdr:rowOff>
    </xdr:to>
    <xdr:graphicFrame>
      <xdr:nvGraphicFramePr>
        <xdr:cNvPr id="2" name="Chart 2"/>
        <xdr:cNvGraphicFramePr/>
      </xdr:nvGraphicFramePr>
      <xdr:xfrm>
        <a:off x="2886075" y="2686050"/>
        <a:ext cx="4038600" cy="1838325"/>
      </xdr:xfrm>
      <a:graphic>
        <a:graphicData uri="http://schemas.openxmlformats.org/drawingml/2006/chart">
          <c:chart xmlns:c="http://schemas.openxmlformats.org/drawingml/2006/chart" r:id="rId2"/>
        </a:graphicData>
      </a:graphic>
    </xdr:graphicFrame>
    <xdr:clientData/>
  </xdr:twoCellAnchor>
  <xdr:twoCellAnchor>
    <xdr:from>
      <xdr:col>10</xdr:col>
      <xdr:colOff>76200</xdr:colOff>
      <xdr:row>7</xdr:row>
      <xdr:rowOff>28575</xdr:rowOff>
    </xdr:from>
    <xdr:to>
      <xdr:col>10</xdr:col>
      <xdr:colOff>76200</xdr:colOff>
      <xdr:row>10</xdr:row>
      <xdr:rowOff>95250</xdr:rowOff>
    </xdr:to>
    <xdr:sp>
      <xdr:nvSpPr>
        <xdr:cNvPr id="3" name="Line 3"/>
        <xdr:cNvSpPr>
          <a:spLocks/>
        </xdr:cNvSpPr>
      </xdr:nvSpPr>
      <xdr:spPr>
        <a:xfrm>
          <a:off x="4648200" y="1162050"/>
          <a:ext cx="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24</xdr:row>
      <xdr:rowOff>9525</xdr:rowOff>
    </xdr:from>
    <xdr:to>
      <xdr:col>11</xdr:col>
      <xdr:colOff>104775</xdr:colOff>
      <xdr:row>26</xdr:row>
      <xdr:rowOff>0</xdr:rowOff>
    </xdr:to>
    <xdr:sp>
      <xdr:nvSpPr>
        <xdr:cNvPr id="4" name="Line 4"/>
        <xdr:cNvSpPr>
          <a:spLocks/>
        </xdr:cNvSpPr>
      </xdr:nvSpPr>
      <xdr:spPr>
        <a:xfrm>
          <a:off x="5286375" y="3895725"/>
          <a:ext cx="0" cy="31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142875</xdr:colOff>
      <xdr:row>31</xdr:row>
      <xdr:rowOff>38100</xdr:rowOff>
    </xdr:from>
    <xdr:to>
      <xdr:col>13</xdr:col>
      <xdr:colOff>533400</xdr:colOff>
      <xdr:row>42</xdr:row>
      <xdr:rowOff>104775</xdr:rowOff>
    </xdr:to>
    <xdr:graphicFrame>
      <xdr:nvGraphicFramePr>
        <xdr:cNvPr id="5" name="Chart 5"/>
        <xdr:cNvGraphicFramePr/>
      </xdr:nvGraphicFramePr>
      <xdr:xfrm>
        <a:off x="2886075" y="5057775"/>
        <a:ext cx="4048125" cy="1847850"/>
      </xdr:xfrm>
      <a:graphic>
        <a:graphicData uri="http://schemas.openxmlformats.org/drawingml/2006/chart">
          <c:chart xmlns:c="http://schemas.openxmlformats.org/drawingml/2006/chart" r:id="rId3"/>
        </a:graphicData>
      </a:graphic>
    </xdr:graphicFrame>
    <xdr:clientData/>
  </xdr:twoCellAnchor>
  <xdr:twoCellAnchor>
    <xdr:from>
      <xdr:col>8</xdr:col>
      <xdr:colOff>161925</xdr:colOff>
      <xdr:row>37</xdr:row>
      <xdr:rowOff>142875</xdr:rowOff>
    </xdr:from>
    <xdr:to>
      <xdr:col>8</xdr:col>
      <xdr:colOff>161925</xdr:colOff>
      <xdr:row>40</xdr:row>
      <xdr:rowOff>76200</xdr:rowOff>
    </xdr:to>
    <xdr:sp>
      <xdr:nvSpPr>
        <xdr:cNvPr id="6" name="Line 6"/>
        <xdr:cNvSpPr>
          <a:spLocks/>
        </xdr:cNvSpPr>
      </xdr:nvSpPr>
      <xdr:spPr>
        <a:xfrm>
          <a:off x="3514725" y="6134100"/>
          <a:ext cx="0" cy="41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142875</xdr:colOff>
      <xdr:row>59</xdr:row>
      <xdr:rowOff>38100</xdr:rowOff>
    </xdr:from>
    <xdr:to>
      <xdr:col>13</xdr:col>
      <xdr:colOff>533400</xdr:colOff>
      <xdr:row>70</xdr:row>
      <xdr:rowOff>104775</xdr:rowOff>
    </xdr:to>
    <xdr:graphicFrame>
      <xdr:nvGraphicFramePr>
        <xdr:cNvPr id="7" name="Chart 5"/>
        <xdr:cNvGraphicFramePr/>
      </xdr:nvGraphicFramePr>
      <xdr:xfrm>
        <a:off x="2886075" y="9591675"/>
        <a:ext cx="4048125" cy="1847850"/>
      </xdr:xfrm>
      <a:graphic>
        <a:graphicData uri="http://schemas.openxmlformats.org/drawingml/2006/chart">
          <c:chart xmlns:c="http://schemas.openxmlformats.org/drawingml/2006/chart" r:id="rId4"/>
        </a:graphicData>
      </a:graphic>
    </xdr:graphicFrame>
    <xdr:clientData/>
  </xdr:twoCellAnchor>
  <xdr:twoCellAnchor>
    <xdr:from>
      <xdr:col>9</xdr:col>
      <xdr:colOff>142875</xdr:colOff>
      <xdr:row>65</xdr:row>
      <xdr:rowOff>142875</xdr:rowOff>
    </xdr:from>
    <xdr:to>
      <xdr:col>9</xdr:col>
      <xdr:colOff>142875</xdr:colOff>
      <xdr:row>68</xdr:row>
      <xdr:rowOff>76200</xdr:rowOff>
    </xdr:to>
    <xdr:sp>
      <xdr:nvSpPr>
        <xdr:cNvPr id="8" name="Line 6"/>
        <xdr:cNvSpPr>
          <a:spLocks/>
        </xdr:cNvSpPr>
      </xdr:nvSpPr>
      <xdr:spPr>
        <a:xfrm>
          <a:off x="4105275" y="10668000"/>
          <a:ext cx="0" cy="41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180975</xdr:colOff>
      <xdr:row>76</xdr:row>
      <xdr:rowOff>66675</xdr:rowOff>
    </xdr:from>
    <xdr:to>
      <xdr:col>13</xdr:col>
      <xdr:colOff>571500</xdr:colOff>
      <xdr:row>87</xdr:row>
      <xdr:rowOff>133350</xdr:rowOff>
    </xdr:to>
    <xdr:graphicFrame>
      <xdr:nvGraphicFramePr>
        <xdr:cNvPr id="9" name="Chart 5"/>
        <xdr:cNvGraphicFramePr/>
      </xdr:nvGraphicFramePr>
      <xdr:xfrm>
        <a:off x="2924175" y="12372975"/>
        <a:ext cx="4048125" cy="1847850"/>
      </xdr:xfrm>
      <a:graphic>
        <a:graphicData uri="http://schemas.openxmlformats.org/drawingml/2006/chart">
          <c:chart xmlns:c="http://schemas.openxmlformats.org/drawingml/2006/chart" r:id="rId5"/>
        </a:graphicData>
      </a:graphic>
    </xdr:graphicFrame>
    <xdr:clientData/>
  </xdr:twoCellAnchor>
  <xdr:twoCellAnchor>
    <xdr:from>
      <xdr:col>8</xdr:col>
      <xdr:colOff>180975</xdr:colOff>
      <xdr:row>81</xdr:row>
      <xdr:rowOff>114300</xdr:rowOff>
    </xdr:from>
    <xdr:to>
      <xdr:col>8</xdr:col>
      <xdr:colOff>180975</xdr:colOff>
      <xdr:row>85</xdr:row>
      <xdr:rowOff>85725</xdr:rowOff>
    </xdr:to>
    <xdr:sp>
      <xdr:nvSpPr>
        <xdr:cNvPr id="10" name="Line 6"/>
        <xdr:cNvSpPr>
          <a:spLocks/>
        </xdr:cNvSpPr>
      </xdr:nvSpPr>
      <xdr:spPr>
        <a:xfrm>
          <a:off x="3533775" y="13230225"/>
          <a:ext cx="0" cy="619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142875</xdr:colOff>
      <xdr:row>90</xdr:row>
      <xdr:rowOff>85725</xdr:rowOff>
    </xdr:from>
    <xdr:to>
      <xdr:col>13</xdr:col>
      <xdr:colOff>533400</xdr:colOff>
      <xdr:row>101</xdr:row>
      <xdr:rowOff>152400</xdr:rowOff>
    </xdr:to>
    <xdr:graphicFrame>
      <xdr:nvGraphicFramePr>
        <xdr:cNvPr id="11" name="Chart 5"/>
        <xdr:cNvGraphicFramePr/>
      </xdr:nvGraphicFramePr>
      <xdr:xfrm>
        <a:off x="2886075" y="14658975"/>
        <a:ext cx="4048125" cy="1847850"/>
      </xdr:xfrm>
      <a:graphic>
        <a:graphicData uri="http://schemas.openxmlformats.org/drawingml/2006/chart">
          <c:chart xmlns:c="http://schemas.openxmlformats.org/drawingml/2006/chart" r:id="rId6"/>
        </a:graphicData>
      </a:graphic>
    </xdr:graphicFrame>
    <xdr:clientData/>
  </xdr:twoCellAnchor>
  <xdr:twoCellAnchor>
    <xdr:from>
      <xdr:col>8</xdr:col>
      <xdr:colOff>161925</xdr:colOff>
      <xdr:row>97</xdr:row>
      <xdr:rowOff>28575</xdr:rowOff>
    </xdr:from>
    <xdr:to>
      <xdr:col>8</xdr:col>
      <xdr:colOff>161925</xdr:colOff>
      <xdr:row>99</xdr:row>
      <xdr:rowOff>104775</xdr:rowOff>
    </xdr:to>
    <xdr:sp>
      <xdr:nvSpPr>
        <xdr:cNvPr id="12" name="Line 6"/>
        <xdr:cNvSpPr>
          <a:spLocks/>
        </xdr:cNvSpPr>
      </xdr:nvSpPr>
      <xdr:spPr>
        <a:xfrm>
          <a:off x="3514725" y="15735300"/>
          <a:ext cx="0"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133350</xdr:colOff>
      <xdr:row>104</xdr:row>
      <xdr:rowOff>104775</xdr:rowOff>
    </xdr:from>
    <xdr:to>
      <xdr:col>13</xdr:col>
      <xdr:colOff>523875</xdr:colOff>
      <xdr:row>116</xdr:row>
      <xdr:rowOff>9525</xdr:rowOff>
    </xdr:to>
    <xdr:graphicFrame>
      <xdr:nvGraphicFramePr>
        <xdr:cNvPr id="13" name="Chart 5"/>
        <xdr:cNvGraphicFramePr/>
      </xdr:nvGraphicFramePr>
      <xdr:xfrm>
        <a:off x="2876550" y="16944975"/>
        <a:ext cx="4048125" cy="1847850"/>
      </xdr:xfrm>
      <a:graphic>
        <a:graphicData uri="http://schemas.openxmlformats.org/drawingml/2006/chart">
          <c:chart xmlns:c="http://schemas.openxmlformats.org/drawingml/2006/chart" r:id="rId7"/>
        </a:graphicData>
      </a:graphic>
    </xdr:graphicFrame>
    <xdr:clientData/>
  </xdr:twoCellAnchor>
  <xdr:twoCellAnchor>
    <xdr:from>
      <xdr:col>9</xdr:col>
      <xdr:colOff>123825</xdr:colOff>
      <xdr:row>111</xdr:row>
      <xdr:rowOff>123825</xdr:rowOff>
    </xdr:from>
    <xdr:to>
      <xdr:col>9</xdr:col>
      <xdr:colOff>123825</xdr:colOff>
      <xdr:row>113</xdr:row>
      <xdr:rowOff>66675</xdr:rowOff>
    </xdr:to>
    <xdr:sp>
      <xdr:nvSpPr>
        <xdr:cNvPr id="14" name="Line 6"/>
        <xdr:cNvSpPr>
          <a:spLocks/>
        </xdr:cNvSpPr>
      </xdr:nvSpPr>
      <xdr:spPr>
        <a:xfrm>
          <a:off x="4086225" y="18097500"/>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133350</xdr:colOff>
      <xdr:row>44</xdr:row>
      <xdr:rowOff>9525</xdr:rowOff>
    </xdr:from>
    <xdr:to>
      <xdr:col>13</xdr:col>
      <xdr:colOff>523875</xdr:colOff>
      <xdr:row>55</xdr:row>
      <xdr:rowOff>76200</xdr:rowOff>
    </xdr:to>
    <xdr:graphicFrame>
      <xdr:nvGraphicFramePr>
        <xdr:cNvPr id="15" name="Chart 5"/>
        <xdr:cNvGraphicFramePr/>
      </xdr:nvGraphicFramePr>
      <xdr:xfrm>
        <a:off x="2876550" y="7134225"/>
        <a:ext cx="4048125" cy="1847850"/>
      </xdr:xfrm>
      <a:graphic>
        <a:graphicData uri="http://schemas.openxmlformats.org/drawingml/2006/chart">
          <c:chart xmlns:c="http://schemas.openxmlformats.org/drawingml/2006/chart" r:id="rId8"/>
        </a:graphicData>
      </a:graphic>
    </xdr:graphicFrame>
    <xdr:clientData/>
  </xdr:twoCellAnchor>
  <xdr:twoCellAnchor>
    <xdr:from>
      <xdr:col>12</xdr:col>
      <xdr:colOff>76200</xdr:colOff>
      <xdr:row>50</xdr:row>
      <xdr:rowOff>76200</xdr:rowOff>
    </xdr:from>
    <xdr:to>
      <xdr:col>12</xdr:col>
      <xdr:colOff>76200</xdr:colOff>
      <xdr:row>53</xdr:row>
      <xdr:rowOff>9525</xdr:rowOff>
    </xdr:to>
    <xdr:sp>
      <xdr:nvSpPr>
        <xdr:cNvPr id="16" name="Line 6"/>
        <xdr:cNvSpPr>
          <a:spLocks/>
        </xdr:cNvSpPr>
      </xdr:nvSpPr>
      <xdr:spPr>
        <a:xfrm>
          <a:off x="5867400" y="8172450"/>
          <a:ext cx="0" cy="41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armersi\algorytm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zmienne"/>
      <sheetName val="przeliczanie"/>
      <sheetName val="algorytmy"/>
      <sheetName val="miasteczka"/>
    </sheetNames>
    <definedNames>
      <definedName name="nowy_rok"/>
      <definedName name="resetuj"/>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42"/>
  </sheetPr>
  <dimension ref="B2:N75"/>
  <sheetViews>
    <sheetView zoomScale="90" zoomScaleNormal="90" zoomScaleSheetLayoutView="40" zoomScalePageLayoutView="0" workbookViewId="0" topLeftCell="A1">
      <selection activeCell="A1" sqref="A1"/>
    </sheetView>
  </sheetViews>
  <sheetFormatPr defaultColWidth="9.140625" defaultRowHeight="12.75"/>
  <cols>
    <col min="1" max="1" width="1.28515625" style="0" customWidth="1"/>
    <col min="2" max="2" width="19.28125" style="0" customWidth="1"/>
    <col min="3" max="7" width="11.140625" style="0" customWidth="1"/>
    <col min="8" max="10" width="10.421875" style="0" customWidth="1"/>
  </cols>
  <sheetData>
    <row r="1" ht="4.5" customHeight="1" thickBot="1"/>
    <row r="2" spans="3:14" ht="13.5" thickBot="1">
      <c r="C2" s="88" t="s">
        <v>34</v>
      </c>
      <c r="D2" s="89"/>
      <c r="F2" s="67" t="s">
        <v>35</v>
      </c>
      <c r="G2" s="68"/>
      <c r="J2" s="22" t="s">
        <v>71</v>
      </c>
      <c r="K2" s="23"/>
      <c r="L2" s="23"/>
      <c r="M2" s="23"/>
      <c r="N2" s="24"/>
    </row>
    <row r="3" spans="2:14" ht="12.75">
      <c r="B3" s="101" t="s">
        <v>47</v>
      </c>
      <c r="C3" s="84" t="s">
        <v>46</v>
      </c>
      <c r="D3" s="82"/>
      <c r="F3" s="69">
        <v>100</v>
      </c>
      <c r="G3" s="70" t="s">
        <v>16</v>
      </c>
      <c r="H3" s="71"/>
      <c r="J3" s="25" t="s">
        <v>72</v>
      </c>
      <c r="K3" s="26"/>
      <c r="L3" s="26"/>
      <c r="M3" s="26"/>
      <c r="N3" s="27"/>
    </row>
    <row r="4" spans="2:14" ht="13.5" thickBot="1">
      <c r="B4" s="61">
        <v>500</v>
      </c>
      <c r="C4" s="86">
        <f>B4+C45</f>
        <v>504</v>
      </c>
      <c r="D4" s="87" t="s">
        <v>0</v>
      </c>
      <c r="F4" s="75">
        <v>3</v>
      </c>
      <c r="G4" s="76" t="s">
        <v>41</v>
      </c>
      <c r="H4" s="77"/>
      <c r="J4" s="61" t="s">
        <v>102</v>
      </c>
      <c r="K4" s="78"/>
      <c r="L4" s="78"/>
      <c r="M4" s="78"/>
      <c r="N4" s="79"/>
    </row>
    <row r="5" spans="2:14" ht="13.5" thickBot="1">
      <c r="B5" s="100">
        <v>50</v>
      </c>
      <c r="C5" s="99">
        <f>C46</f>
        <v>46.93333333333334</v>
      </c>
      <c r="D5" s="87" t="s">
        <v>1</v>
      </c>
      <c r="J5" s="28" t="s">
        <v>73</v>
      </c>
      <c r="K5" s="29"/>
      <c r="L5" s="30"/>
      <c r="M5" s="30"/>
      <c r="N5" s="31"/>
    </row>
    <row r="6" spans="2:6" ht="13.5" thickBot="1">
      <c r="B6" s="66">
        <v>100</v>
      </c>
      <c r="C6" s="86">
        <f>C53</f>
        <v>103.27499999999999</v>
      </c>
      <c r="D6" s="87" t="s">
        <v>2</v>
      </c>
      <c r="F6" s="81" t="s">
        <v>36</v>
      </c>
    </row>
    <row r="7" spans="3:10" ht="12.75">
      <c r="C7" s="61">
        <v>19</v>
      </c>
      <c r="D7" s="87" t="s">
        <v>3</v>
      </c>
      <c r="F7" s="69">
        <v>25</v>
      </c>
      <c r="G7" s="70" t="s">
        <v>17</v>
      </c>
      <c r="H7" s="70"/>
      <c r="I7" s="70"/>
      <c r="J7" s="71"/>
    </row>
    <row r="8" spans="3:10" ht="12.75">
      <c r="C8" s="61">
        <v>11</v>
      </c>
      <c r="D8" s="87" t="s">
        <v>4</v>
      </c>
      <c r="F8" s="72">
        <v>8</v>
      </c>
      <c r="G8" s="73" t="s">
        <v>18</v>
      </c>
      <c r="H8" s="73"/>
      <c r="I8" s="73"/>
      <c r="J8" s="74"/>
    </row>
    <row r="9" spans="3:10" ht="13.5" thickBot="1">
      <c r="C9" s="66">
        <v>5000</v>
      </c>
      <c r="D9" s="83" t="s">
        <v>5</v>
      </c>
      <c r="F9" s="72">
        <v>6</v>
      </c>
      <c r="G9" s="73" t="s">
        <v>19</v>
      </c>
      <c r="H9" s="73"/>
      <c r="I9" s="73"/>
      <c r="J9" s="74"/>
    </row>
    <row r="10" spans="6:10" ht="13.5" thickBot="1">
      <c r="F10" s="72">
        <v>75</v>
      </c>
      <c r="G10" s="73" t="s">
        <v>53</v>
      </c>
      <c r="H10" s="73"/>
      <c r="I10" s="73"/>
      <c r="J10" s="74"/>
    </row>
    <row r="11" spans="3:10" ht="13.5" thickBot="1">
      <c r="C11" s="93">
        <v>10</v>
      </c>
      <c r="D11" s="89" t="s">
        <v>6</v>
      </c>
      <c r="F11" s="72">
        <v>200</v>
      </c>
      <c r="G11" s="73" t="s">
        <v>67</v>
      </c>
      <c r="H11" s="73"/>
      <c r="I11" s="73"/>
      <c r="J11" s="74"/>
    </row>
    <row r="12" spans="6:10" ht="12.75">
      <c r="F12" s="72">
        <v>2</v>
      </c>
      <c r="G12" s="73" t="s">
        <v>54</v>
      </c>
      <c r="H12" s="73"/>
      <c r="I12" s="73"/>
      <c r="J12" s="74"/>
    </row>
    <row r="13" spans="6:10" ht="13.5" thickBot="1">
      <c r="F13" s="80">
        <v>0.15</v>
      </c>
      <c r="G13" s="76" t="s">
        <v>61</v>
      </c>
      <c r="H13" s="76"/>
      <c r="I13" s="76"/>
      <c r="J13" s="77"/>
    </row>
    <row r="14" spans="3:6" ht="13.5" thickBot="1">
      <c r="C14" s="88" t="s">
        <v>51</v>
      </c>
      <c r="D14" s="89"/>
      <c r="F14" s="5"/>
    </row>
    <row r="15" spans="3:8" ht="12.75">
      <c r="C15" s="90">
        <f>TRUNC(C7/2)</f>
        <v>9</v>
      </c>
      <c r="D15" s="84" t="s">
        <v>14</v>
      </c>
      <c r="E15" s="84"/>
      <c r="F15" s="84"/>
      <c r="G15" s="84"/>
      <c r="H15" s="82"/>
    </row>
    <row r="16" spans="3:8" ht="12.75">
      <c r="C16" s="91">
        <f>C7-C15</f>
        <v>10</v>
      </c>
      <c r="D16" s="86" t="s">
        <v>13</v>
      </c>
      <c r="E16" s="86"/>
      <c r="F16" s="86"/>
      <c r="G16" s="86"/>
      <c r="H16" s="87"/>
    </row>
    <row r="17" spans="3:8" ht="13.5" thickBot="1">
      <c r="C17" s="92">
        <f>ROUND(C8*0.1,0)</f>
        <v>1</v>
      </c>
      <c r="D17" s="85" t="s">
        <v>52</v>
      </c>
      <c r="E17" s="85"/>
      <c r="F17" s="85"/>
      <c r="G17" s="85"/>
      <c r="H17" s="83"/>
    </row>
    <row r="18" s="30" customFormat="1" ht="13.5" thickBot="1"/>
    <row r="19" spans="2:7" ht="13.5" thickBot="1">
      <c r="B19" s="2"/>
      <c r="C19" s="2"/>
      <c r="E19" s="2"/>
      <c r="F19" s="2"/>
      <c r="G19" s="2"/>
    </row>
    <row r="20" spans="2:12" ht="12.75">
      <c r="B20" s="44"/>
      <c r="C20" s="45"/>
      <c r="D20" s="46" t="s">
        <v>7</v>
      </c>
      <c r="E20" s="45"/>
      <c r="F20" s="45"/>
      <c r="G20" s="47"/>
      <c r="I20" s="102">
        <v>0.4</v>
      </c>
      <c r="J20" s="34" t="s">
        <v>109</v>
      </c>
      <c r="K20" s="34"/>
      <c r="L20" s="35"/>
    </row>
    <row r="21" spans="2:12" ht="13.5" thickBot="1">
      <c r="B21" s="48" t="s">
        <v>8</v>
      </c>
      <c r="C21" s="49">
        <v>-0.2</v>
      </c>
      <c r="D21" s="49">
        <v>-0.1</v>
      </c>
      <c r="E21" s="50" t="s">
        <v>9</v>
      </c>
      <c r="F21" s="51" t="s">
        <v>10</v>
      </c>
      <c r="G21" s="52" t="s">
        <v>11</v>
      </c>
      <c r="I21" s="103">
        <v>0.4</v>
      </c>
      <c r="J21" s="42" t="s">
        <v>110</v>
      </c>
      <c r="K21" s="42"/>
      <c r="L21" s="43"/>
    </row>
    <row r="22" spans="2:7" ht="13.5" thickBot="1">
      <c r="B22" s="48" t="s">
        <v>20</v>
      </c>
      <c r="C22" s="53">
        <f>ROUND(C7*0.05,0)</f>
        <v>1</v>
      </c>
      <c r="D22" s="53">
        <f>ROUND(C7*0.06,0)</f>
        <v>1</v>
      </c>
      <c r="E22" s="53">
        <f>ROUND(C7*0.08,0)</f>
        <v>2</v>
      </c>
      <c r="F22" s="53">
        <f>ROUND(C7*0.11,0)</f>
        <v>2</v>
      </c>
      <c r="G22" s="54">
        <f>ROUND(C7*0.15,0)</f>
        <v>3</v>
      </c>
    </row>
    <row r="23" spans="2:12" ht="12.75">
      <c r="B23" s="48" t="s">
        <v>22</v>
      </c>
      <c r="C23" s="53">
        <v>0</v>
      </c>
      <c r="D23" s="53">
        <v>0</v>
      </c>
      <c r="E23" s="53">
        <f>C11</f>
        <v>10</v>
      </c>
      <c r="F23" s="53">
        <f>C11</f>
        <v>10</v>
      </c>
      <c r="G23" s="54">
        <f>C11</f>
        <v>10</v>
      </c>
      <c r="I23" s="32"/>
      <c r="J23" s="33" t="s">
        <v>32</v>
      </c>
      <c r="K23" s="34"/>
      <c r="L23" s="35"/>
    </row>
    <row r="24" spans="2:12" ht="13.5" thickBot="1">
      <c r="B24" s="55" t="s">
        <v>21</v>
      </c>
      <c r="C24" s="56">
        <v>0</v>
      </c>
      <c r="D24" s="56">
        <v>0</v>
      </c>
      <c r="E24" s="56">
        <v>0</v>
      </c>
      <c r="F24" s="56">
        <v>0</v>
      </c>
      <c r="G24" s="57">
        <v>0</v>
      </c>
      <c r="I24" s="36">
        <v>0.5</v>
      </c>
      <c r="J24" s="37" t="s">
        <v>27</v>
      </c>
      <c r="K24" s="37"/>
      <c r="L24" s="38"/>
    </row>
    <row r="25" spans="2:12" ht="12.75">
      <c r="B25" s="3"/>
      <c r="C25" s="2"/>
      <c r="D25" s="2"/>
      <c r="E25" s="2"/>
      <c r="F25" s="2"/>
      <c r="G25" s="2"/>
      <c r="I25" s="106">
        <f>C4*F7</f>
        <v>12600</v>
      </c>
      <c r="J25" s="37" t="s">
        <v>23</v>
      </c>
      <c r="K25" s="37"/>
      <c r="L25" s="38"/>
    </row>
    <row r="26" spans="2:12" ht="12.75">
      <c r="B26" s="4"/>
      <c r="I26" s="104">
        <f>I25*(I20/I24)^0.5</f>
        <v>11269.78260659894</v>
      </c>
      <c r="J26" s="37" t="s">
        <v>111</v>
      </c>
      <c r="K26" s="37"/>
      <c r="L26" s="38"/>
    </row>
    <row r="27" spans="2:12" ht="13.5" thickBot="1">
      <c r="B27" s="4"/>
      <c r="C27" s="2"/>
      <c r="E27" s="2"/>
      <c r="F27" s="2"/>
      <c r="G27" s="2"/>
      <c r="I27" s="107">
        <v>10000</v>
      </c>
      <c r="J27" s="37" t="s">
        <v>24</v>
      </c>
      <c r="K27" s="37"/>
      <c r="L27" s="38"/>
    </row>
    <row r="28" spans="2:12" ht="12.75">
      <c r="B28" s="44"/>
      <c r="C28" s="45"/>
      <c r="D28" s="46" t="s">
        <v>12</v>
      </c>
      <c r="E28" s="45"/>
      <c r="F28" s="45"/>
      <c r="G28" s="47"/>
      <c r="I28" s="105">
        <f>I27/I26</f>
        <v>0.8873285624999167</v>
      </c>
      <c r="J28" s="37" t="s">
        <v>25</v>
      </c>
      <c r="K28" s="37"/>
      <c r="L28" s="38"/>
    </row>
    <row r="29" spans="2:12" ht="12.75">
      <c r="B29" s="48" t="s">
        <v>8</v>
      </c>
      <c r="C29" s="49">
        <v>-0.2</v>
      </c>
      <c r="D29" s="49">
        <v>-0.1</v>
      </c>
      <c r="E29" s="50" t="s">
        <v>9</v>
      </c>
      <c r="F29" s="51" t="s">
        <v>10</v>
      </c>
      <c r="G29" s="52" t="s">
        <v>11</v>
      </c>
      <c r="I29" s="105">
        <f>1/(I28)^0.3</f>
        <v>1.0365127808474695</v>
      </c>
      <c r="J29" s="37" t="s">
        <v>26</v>
      </c>
      <c r="K29" s="37"/>
      <c r="L29" s="38"/>
    </row>
    <row r="30" spans="2:12" ht="13.5" thickBot="1">
      <c r="B30" s="48" t="s">
        <v>20</v>
      </c>
      <c r="C30" s="53">
        <f>ROUND(C8*0.05,0)</f>
        <v>1</v>
      </c>
      <c r="D30" s="53">
        <f>ROUND(C8*0.06,0)</f>
        <v>1</v>
      </c>
      <c r="E30" s="53">
        <f>ROUND(C8*0.08,0)</f>
        <v>1</v>
      </c>
      <c r="F30" s="53">
        <f>ROUND(C8*0.11,0)</f>
        <v>1</v>
      </c>
      <c r="G30" s="54">
        <f>ROUND(C8*0.15,0)</f>
        <v>2</v>
      </c>
      <c r="I30" s="41">
        <f>I24*I29</f>
        <v>0.5182563904237347</v>
      </c>
      <c r="J30" s="42" t="s">
        <v>28</v>
      </c>
      <c r="K30" s="42"/>
      <c r="L30" s="43"/>
    </row>
    <row r="31" spans="2:7" ht="13.5" thickBot="1">
      <c r="B31" s="55" t="s">
        <v>21</v>
      </c>
      <c r="C31" s="56">
        <v>0</v>
      </c>
      <c r="D31" s="56">
        <v>0</v>
      </c>
      <c r="E31" s="56">
        <v>0</v>
      </c>
      <c r="F31" s="56">
        <v>0</v>
      </c>
      <c r="G31" s="57">
        <v>0</v>
      </c>
    </row>
    <row r="32" spans="2:12" ht="12.75">
      <c r="B32" s="3"/>
      <c r="C32" s="2"/>
      <c r="D32" s="2"/>
      <c r="E32" s="2"/>
      <c r="F32" s="2"/>
      <c r="G32" s="2"/>
      <c r="I32" s="32"/>
      <c r="J32" s="33" t="s">
        <v>33</v>
      </c>
      <c r="K32" s="34"/>
      <c r="L32" s="35"/>
    </row>
    <row r="33" spans="2:12" ht="12.75">
      <c r="B33" s="4"/>
      <c r="I33" s="36">
        <v>0.5</v>
      </c>
      <c r="J33" s="37" t="s">
        <v>29</v>
      </c>
      <c r="K33" s="37"/>
      <c r="L33" s="38"/>
    </row>
    <row r="34" spans="2:12" ht="13.5" thickBot="1">
      <c r="B34" s="4"/>
      <c r="C34" s="2"/>
      <c r="E34" s="2"/>
      <c r="F34" s="2"/>
      <c r="G34" s="2"/>
      <c r="I34" s="106">
        <f>C4*F8</f>
        <v>4032</v>
      </c>
      <c r="J34" s="37" t="s">
        <v>30</v>
      </c>
      <c r="K34" s="37"/>
      <c r="L34" s="38"/>
    </row>
    <row r="35" spans="2:12" ht="12.75">
      <c r="B35" s="44"/>
      <c r="C35" s="45"/>
      <c r="D35" s="46" t="s">
        <v>15</v>
      </c>
      <c r="E35" s="45"/>
      <c r="F35" s="45"/>
      <c r="G35" s="47"/>
      <c r="I35" s="104">
        <f>I34*(I21/I33)^0.5</f>
        <v>3606.330434111661</v>
      </c>
      <c r="J35" s="37" t="s">
        <v>111</v>
      </c>
      <c r="K35" s="37"/>
      <c r="L35" s="38"/>
    </row>
    <row r="36" spans="2:12" ht="12.75">
      <c r="B36" s="48" t="s">
        <v>8</v>
      </c>
      <c r="C36" s="49">
        <v>-0.2</v>
      </c>
      <c r="D36" s="49">
        <v>-0.1</v>
      </c>
      <c r="E36" s="50" t="s">
        <v>9</v>
      </c>
      <c r="F36" s="51" t="s">
        <v>10</v>
      </c>
      <c r="G36" s="52" t="s">
        <v>11</v>
      </c>
      <c r="I36" s="107">
        <v>5000</v>
      </c>
      <c r="J36" s="37" t="s">
        <v>24</v>
      </c>
      <c r="K36" s="37"/>
      <c r="L36" s="38"/>
    </row>
    <row r="37" spans="2:12" ht="12.75">
      <c r="B37" s="48" t="s">
        <v>20</v>
      </c>
      <c r="C37" s="53">
        <f>E37*0.7</f>
        <v>700</v>
      </c>
      <c r="D37" s="53">
        <f>E37*0.85</f>
        <v>850</v>
      </c>
      <c r="E37" s="53">
        <f>C16*F3</f>
        <v>1000</v>
      </c>
      <c r="F37" s="53">
        <f>E37+C9*0.2</f>
        <v>2000</v>
      </c>
      <c r="G37" s="54">
        <f>E37+C9*0.4</f>
        <v>3000</v>
      </c>
      <c r="I37" s="105">
        <f>I36/I35</f>
        <v>1.3864508789061196</v>
      </c>
      <c r="J37" s="37" t="s">
        <v>25</v>
      </c>
      <c r="K37" s="37"/>
      <c r="L37" s="38"/>
    </row>
    <row r="38" spans="2:12" ht="13.5" thickBot="1">
      <c r="B38" s="55" t="s">
        <v>21</v>
      </c>
      <c r="C38" s="56">
        <f>E38*1.1</f>
        <v>3326.4</v>
      </c>
      <c r="D38" s="56">
        <f>E38*1.05</f>
        <v>3175.2000000000003</v>
      </c>
      <c r="E38" s="56">
        <f>C4*F9</f>
        <v>3024</v>
      </c>
      <c r="F38" s="56">
        <f>E38*0.95</f>
        <v>2872.7999999999997</v>
      </c>
      <c r="G38" s="57">
        <f>E38*0.9</f>
        <v>2721.6</v>
      </c>
      <c r="I38" s="105">
        <f>1/(I37)^0.3</f>
        <v>0.9066270109888829</v>
      </c>
      <c r="J38" s="37" t="s">
        <v>26</v>
      </c>
      <c r="K38" s="37"/>
      <c r="L38" s="38"/>
    </row>
    <row r="39" spans="9:12" ht="13.5" thickBot="1">
      <c r="I39" s="41">
        <f>I33*I38</f>
        <v>0.45331350549444144</v>
      </c>
      <c r="J39" s="42" t="s">
        <v>31</v>
      </c>
      <c r="K39" s="42"/>
      <c r="L39" s="43"/>
    </row>
    <row r="40" ht="13.5" thickBot="1"/>
    <row r="41" spans="3:7" ht="12.75">
      <c r="C41" s="32"/>
      <c r="D41" s="33" t="s">
        <v>37</v>
      </c>
      <c r="E41" s="34"/>
      <c r="F41" s="34"/>
      <c r="G41" s="35"/>
    </row>
    <row r="42" spans="3:7" ht="12.75">
      <c r="C42" s="39">
        <v>25.6</v>
      </c>
      <c r="D42" s="37" t="s">
        <v>38</v>
      </c>
      <c r="E42" s="37"/>
      <c r="F42" s="37"/>
      <c r="G42" s="38"/>
    </row>
    <row r="43" spans="3:7" ht="12.75">
      <c r="C43" s="61">
        <v>30</v>
      </c>
      <c r="D43" s="37" t="s">
        <v>39</v>
      </c>
      <c r="E43" s="37"/>
      <c r="F43" s="37"/>
      <c r="G43" s="38"/>
    </row>
    <row r="44" spans="3:7" ht="12.75">
      <c r="C44" s="39">
        <f>C43-C42</f>
        <v>4.399999999999999</v>
      </c>
      <c r="D44" s="37" t="s">
        <v>40</v>
      </c>
      <c r="E44" s="37"/>
      <c r="F44" s="37"/>
      <c r="G44" s="38"/>
    </row>
    <row r="45" spans="3:7" ht="12.75">
      <c r="C45" s="58">
        <f>ROUND(C44/3,0)+F4</f>
        <v>4</v>
      </c>
      <c r="D45" s="37" t="s">
        <v>42</v>
      </c>
      <c r="E45" s="37"/>
      <c r="F45" s="37"/>
      <c r="G45" s="38"/>
    </row>
    <row r="46" spans="3:7" ht="12.75">
      <c r="C46" s="58">
        <f>MAX(B5-C44+C45/3,1)</f>
        <v>46.93333333333334</v>
      </c>
      <c r="D46" s="37" t="s">
        <v>43</v>
      </c>
      <c r="E46" s="37"/>
      <c r="F46" s="37"/>
      <c r="G46" s="38"/>
    </row>
    <row r="47" spans="3:7" ht="12.75">
      <c r="C47" s="59">
        <f>B5/B4</f>
        <v>0.1</v>
      </c>
      <c r="D47" s="37" t="s">
        <v>45</v>
      </c>
      <c r="E47" s="37"/>
      <c r="F47" s="37"/>
      <c r="G47" s="38"/>
    </row>
    <row r="48" spans="3:7" ht="12.75">
      <c r="C48" s="59">
        <f>C46/C4</f>
        <v>0.09312169312169313</v>
      </c>
      <c r="D48" s="37" t="s">
        <v>44</v>
      </c>
      <c r="E48" s="37"/>
      <c r="F48" s="37"/>
      <c r="G48" s="38"/>
    </row>
    <row r="49" spans="3:7" ht="12.75">
      <c r="C49" s="59">
        <f>C48/C47-1</f>
        <v>-0.06878306878306872</v>
      </c>
      <c r="D49" s="37" t="s">
        <v>50</v>
      </c>
      <c r="E49" s="37"/>
      <c r="F49" s="37"/>
      <c r="G49" s="38"/>
    </row>
    <row r="50" spans="3:7" ht="12.75">
      <c r="C50" s="40">
        <f>MIN(IF(0.98+C49&gt;0,(1/(0.98+C49))^0.3,2),2)</f>
        <v>1.0282849175044015</v>
      </c>
      <c r="D50" s="37" t="s">
        <v>48</v>
      </c>
      <c r="E50" s="37"/>
      <c r="F50" s="37"/>
      <c r="G50" s="38"/>
    </row>
    <row r="51" spans="3:7" ht="12.75">
      <c r="C51" s="139">
        <f>TRUNC(C50*B6)</f>
        <v>102</v>
      </c>
      <c r="D51" s="37" t="s">
        <v>177</v>
      </c>
      <c r="E51" s="37"/>
      <c r="F51" s="37"/>
      <c r="G51" s="38"/>
    </row>
    <row r="52" spans="3:7" ht="12.75">
      <c r="C52" s="140">
        <v>0.05</v>
      </c>
      <c r="D52" s="37" t="s">
        <v>178</v>
      </c>
      <c r="E52" s="37"/>
      <c r="F52" s="37"/>
      <c r="G52" s="38"/>
    </row>
    <row r="53" spans="3:7" ht="13.5" thickBot="1">
      <c r="C53" s="65">
        <f>C51*(1+C52/4)</f>
        <v>103.27499999999999</v>
      </c>
      <c r="D53" s="42" t="s">
        <v>49</v>
      </c>
      <c r="E53" s="42"/>
      <c r="F53" s="42"/>
      <c r="G53" s="43"/>
    </row>
    <row r="54" s="30" customFormat="1" ht="13.5" thickBot="1"/>
    <row r="56" spans="3:8" ht="13.5" thickBot="1">
      <c r="C56" s="1" t="s">
        <v>55</v>
      </c>
      <c r="G56" s="110"/>
      <c r="H56" s="110"/>
    </row>
    <row r="57" spans="3:11" ht="13.5" thickBot="1">
      <c r="C57" s="96">
        <v>20</v>
      </c>
      <c r="D57" s="82" t="s">
        <v>3</v>
      </c>
      <c r="F57" s="108"/>
      <c r="G57" s="1" t="s">
        <v>108</v>
      </c>
      <c r="H57" s="113"/>
      <c r="I57" s="110"/>
      <c r="J57" s="110"/>
      <c r="K57" s="110"/>
    </row>
    <row r="58" spans="3:7" ht="13.5" thickBot="1">
      <c r="C58" s="97">
        <v>15</v>
      </c>
      <c r="D58" s="83" t="s">
        <v>4</v>
      </c>
      <c r="F58" s="108"/>
      <c r="G58" t="s">
        <v>104</v>
      </c>
    </row>
    <row r="59" spans="6:7" ht="12.75">
      <c r="F59" s="108"/>
      <c r="G59" t="s">
        <v>105</v>
      </c>
    </row>
    <row r="60" spans="3:7" ht="13.5" thickBot="1">
      <c r="C60" s="1" t="s">
        <v>56</v>
      </c>
      <c r="F60" s="108"/>
      <c r="G60" t="s">
        <v>107</v>
      </c>
    </row>
    <row r="61" spans="3:7" ht="12.75">
      <c r="C61" s="94">
        <v>3</v>
      </c>
      <c r="D61" s="84" t="s">
        <v>57</v>
      </c>
      <c r="E61" s="82"/>
      <c r="F61" s="109"/>
      <c r="G61" t="s">
        <v>106</v>
      </c>
    </row>
    <row r="62" spans="3:13" ht="13.5" thickBot="1">
      <c r="C62" s="95">
        <v>2</v>
      </c>
      <c r="D62" s="85" t="s">
        <v>58</v>
      </c>
      <c r="E62" s="83"/>
      <c r="G62" t="s">
        <v>160</v>
      </c>
      <c r="L62" s="110"/>
      <c r="M62" s="110"/>
    </row>
    <row r="63" spans="7:11" ht="13.5" thickBot="1">
      <c r="G63" s="111" t="s">
        <v>161</v>
      </c>
      <c r="H63" s="112"/>
      <c r="I63" s="111"/>
      <c r="J63" s="110"/>
      <c r="K63" s="110"/>
    </row>
    <row r="64" spans="3:6" ht="13.5" thickBot="1">
      <c r="C64" s="62" t="s">
        <v>64</v>
      </c>
      <c r="D64" s="34"/>
      <c r="E64" s="34"/>
      <c r="F64" s="35"/>
    </row>
    <row r="65" spans="3:10" ht="12.75">
      <c r="C65" s="63">
        <f>IF(AND(C58&gt;0,C61&gt;0),((C58-C62)/C61)^-0.3*2,0)</f>
        <v>1.2882002122841238</v>
      </c>
      <c r="D65" s="37" t="s">
        <v>59</v>
      </c>
      <c r="E65" s="37"/>
      <c r="F65" s="38"/>
      <c r="H65" s="62" t="s">
        <v>66</v>
      </c>
      <c r="I65" s="34"/>
      <c r="J65" s="35"/>
    </row>
    <row r="66" spans="3:10" ht="13.5" thickBot="1">
      <c r="C66" s="39">
        <v>0.3</v>
      </c>
      <c r="D66" s="37" t="s">
        <v>62</v>
      </c>
      <c r="E66" s="37"/>
      <c r="F66" s="38"/>
      <c r="H66" s="60">
        <f>C62*F11</f>
        <v>400</v>
      </c>
      <c r="I66" s="42" t="s">
        <v>66</v>
      </c>
      <c r="J66" s="43"/>
    </row>
    <row r="67" spans="3:6" ht="13.5" thickBot="1">
      <c r="C67" s="39">
        <f>TRUNC((C58-C62)*C65*F13+C66)</f>
        <v>2</v>
      </c>
      <c r="D67" s="37" t="s">
        <v>60</v>
      </c>
      <c r="E67" s="37"/>
      <c r="F67" s="38"/>
    </row>
    <row r="68" spans="3:10" ht="12.75">
      <c r="C68" s="58">
        <f>(C58-C62)*C65*F13+C66-C67</f>
        <v>0.811990413954041</v>
      </c>
      <c r="D68" s="37" t="s">
        <v>63</v>
      </c>
      <c r="E68" s="37"/>
      <c r="F68" s="38"/>
      <c r="H68" s="62" t="s">
        <v>68</v>
      </c>
      <c r="I68" s="34"/>
      <c r="J68" s="35"/>
    </row>
    <row r="69" spans="3:10" ht="12.75">
      <c r="C69" s="39">
        <f>C58-C62+C67</f>
        <v>15</v>
      </c>
      <c r="D69" s="37" t="s">
        <v>65</v>
      </c>
      <c r="E69" s="37"/>
      <c r="F69" s="38"/>
      <c r="H69" s="63">
        <f>IF(AND(C58&gt;0,C61&gt;0),(C69/C61)^-0.3*2,0)</f>
        <v>1.2340677254400192</v>
      </c>
      <c r="I69" s="37" t="s">
        <v>69</v>
      </c>
      <c r="J69" s="38"/>
    </row>
    <row r="70" spans="3:10" ht="13.5" thickBot="1">
      <c r="C70" s="39"/>
      <c r="D70" s="37"/>
      <c r="E70" s="37"/>
      <c r="F70" s="38"/>
      <c r="H70" s="64">
        <f>(C69-C67)*H69*F10</f>
        <v>1203.2160323040187</v>
      </c>
      <c r="I70" s="42" t="s">
        <v>68</v>
      </c>
      <c r="J70" s="43"/>
    </row>
    <row r="71" spans="3:6" ht="13.5" thickBot="1">
      <c r="C71" s="65">
        <f>C69^0.5</f>
        <v>3.872983346207417</v>
      </c>
      <c r="D71" s="42" t="s">
        <v>70</v>
      </c>
      <c r="E71" s="42"/>
      <c r="F71" s="43"/>
    </row>
    <row r="72" ht="13.5" thickBot="1"/>
    <row r="73" spans="3:5" ht="12.75">
      <c r="C73" s="62" t="s">
        <v>101</v>
      </c>
      <c r="D73" s="34"/>
      <c r="E73" s="35"/>
    </row>
    <row r="74" spans="3:5" ht="13.5" thickBot="1">
      <c r="C74" s="60">
        <f>(C57-C61)*F3</f>
        <v>1700</v>
      </c>
      <c r="D74" s="42" t="s">
        <v>101</v>
      </c>
      <c r="E74" s="43"/>
    </row>
    <row r="75" ht="12.75">
      <c r="J75" s="98" t="s">
        <v>103</v>
      </c>
    </row>
    <row r="76" s="30" customFormat="1" ht="13.5" thickBot="1"/>
  </sheetData>
  <sheetProtection/>
  <conditionalFormatting sqref="C62">
    <cfRule type="cellIs" priority="1" dxfId="0" operator="greaterThan" stopIfTrue="1">
      <formula>$C$58</formula>
    </cfRule>
  </conditionalFormatting>
  <conditionalFormatting sqref="C61">
    <cfRule type="cellIs" priority="2" dxfId="0" operator="greaterThan" stopIfTrue="1">
      <formula>$C$57</formula>
    </cfRule>
  </conditionalFormatting>
  <printOptions/>
  <pageMargins left="0.6692913385826772" right="0.5118110236220472" top="0.5118110236220472" bottom="0.5118110236220472" header="0.5118110236220472" footer="0.5118110236220472"/>
  <pageSetup orientation="landscape" paperSize="9" scale="93" r:id="rId3"/>
  <rowBreaks count="1" manualBreakCount="1">
    <brk id="40" max="13" man="1"/>
  </rowBreaks>
  <colBreaks count="2" manualBreakCount="2">
    <brk id="14" min="1" max="73" man="1"/>
    <brk id="15" max="65535" man="1"/>
  </colBreaks>
  <ignoredErrors>
    <ignoredError sqref="F21:G21 F29:G29 F36:G36" numberStoredAsText="1"/>
  </ignoredErrors>
  <legacyDrawing r:id="rId2"/>
</worksheet>
</file>

<file path=xl/worksheets/sheet2.xml><?xml version="1.0" encoding="utf-8"?>
<worksheet xmlns="http://schemas.openxmlformats.org/spreadsheetml/2006/main" xmlns:r="http://schemas.openxmlformats.org/officeDocument/2006/relationships">
  <sheetPr>
    <tabColor indexed="47"/>
  </sheetPr>
  <dimension ref="A1:M65"/>
  <sheetViews>
    <sheetView tabSelected="1" zoomScalePageLayoutView="0" workbookViewId="0" topLeftCell="A1">
      <selection activeCell="A1" sqref="A1"/>
    </sheetView>
  </sheetViews>
  <sheetFormatPr defaultColWidth="9.140625" defaultRowHeight="12.75"/>
  <cols>
    <col min="1" max="1" width="33.7109375" style="6" customWidth="1"/>
    <col min="2" max="8" width="11.140625" style="6" customWidth="1"/>
    <col min="9" max="9" width="11.8515625" style="6" customWidth="1"/>
    <col min="10" max="10" width="14.57421875" style="6" customWidth="1"/>
    <col min="11" max="12" width="17.8515625" style="6" customWidth="1"/>
    <col min="13" max="37" width="15.7109375" style="6" customWidth="1"/>
    <col min="38" max="16384" width="9.140625" style="6" customWidth="1"/>
  </cols>
  <sheetData>
    <row r="1" spans="3:8" ht="24.75" customHeight="1">
      <c r="C1" s="7" t="s">
        <v>74</v>
      </c>
      <c r="F1" s="6" t="s">
        <v>36</v>
      </c>
      <c r="H1" s="138">
        <v>10</v>
      </c>
    </row>
    <row r="2" ht="12.75"/>
    <row r="3" spans="1:8" ht="13.5" thickBot="1">
      <c r="A3" s="8" t="s">
        <v>75</v>
      </c>
      <c r="B3" s="9" t="s">
        <v>76</v>
      </c>
      <c r="C3" s="9" t="s">
        <v>77</v>
      </c>
      <c r="D3" s="9" t="s">
        <v>78</v>
      </c>
      <c r="E3" s="9" t="s">
        <v>79</v>
      </c>
      <c r="F3" s="8" t="s">
        <v>80</v>
      </c>
      <c r="G3" s="10">
        <v>4</v>
      </c>
      <c r="H3" s="6" t="s">
        <v>81</v>
      </c>
    </row>
    <row r="4" spans="1:6" ht="13.5" thickBot="1">
      <c r="A4" s="8" t="s">
        <v>82</v>
      </c>
      <c r="B4" s="11">
        <v>0</v>
      </c>
      <c r="C4" s="12">
        <v>10</v>
      </c>
      <c r="D4" s="12">
        <v>60</v>
      </c>
      <c r="E4" s="13">
        <v>72</v>
      </c>
      <c r="F4" s="8">
        <f>AVERAGE(B4:E4)</f>
        <v>35.5</v>
      </c>
    </row>
    <row r="5" spans="1:8" ht="12.75">
      <c r="A5" s="8" t="s">
        <v>83</v>
      </c>
      <c r="B5" s="14">
        <f>IF($F$4&gt;0,((B4+$F$4/3+$H$1)/$F$4)^$F$5,1)</f>
        <v>0.8465062060430323</v>
      </c>
      <c r="C5" s="14">
        <f>IF($F$4&gt;0,((C4+$F$4/3+$H$1)/$F$4)^$F$5,1)</f>
        <v>0.9633171194497444</v>
      </c>
      <c r="D5" s="14">
        <f>IF($F$4&gt;0,((D4+$F$4/3+$H$1)/$F$4)^$F$5,1)</f>
        <v>1.331488794585312</v>
      </c>
      <c r="E5" s="14">
        <f>IF($F$4&gt;0,((E4+$F$4/3+$H$1)/$F$4)^$F$5,1)</f>
        <v>1.3954349632607272</v>
      </c>
      <c r="F5" s="18">
        <f>0.7/(F4^0.2)</f>
        <v>0.34280912169461697</v>
      </c>
      <c r="G5" s="15">
        <f>AVERAGE(B5:F5)</f>
        <v>0.9759112410066866</v>
      </c>
      <c r="H5" s="6" t="s">
        <v>179</v>
      </c>
    </row>
    <row r="6" spans="1:8" ht="13.5" thickBot="1">
      <c r="A6" s="8" t="s">
        <v>84</v>
      </c>
      <c r="B6" s="16">
        <f>(($F$4+3)^0.4)</f>
        <v>4.30709342176204</v>
      </c>
      <c r="C6" s="17"/>
      <c r="D6" s="17"/>
      <c r="E6" s="17"/>
      <c r="G6" s="18"/>
      <c r="H6" s="6" t="s">
        <v>85</v>
      </c>
    </row>
    <row r="7" spans="1:8" ht="13.5" thickBot="1">
      <c r="A7" s="8" t="s">
        <v>86</v>
      </c>
      <c r="B7" s="11">
        <v>14281</v>
      </c>
      <c r="C7" s="12">
        <v>4077</v>
      </c>
      <c r="D7" s="12">
        <v>0</v>
      </c>
      <c r="E7" s="13">
        <v>4618</v>
      </c>
      <c r="F7" s="8">
        <f>AVERAGE(B7:E7)</f>
        <v>5744</v>
      </c>
      <c r="G7" s="10"/>
      <c r="H7" s="6" t="s">
        <v>87</v>
      </c>
    </row>
    <row r="8" spans="1:8" ht="12.75">
      <c r="A8" s="8" t="s">
        <v>88</v>
      </c>
      <c r="B8" s="16">
        <f>MAX($F$7*B5/$G$5,1)</f>
        <v>4982.350282691193</v>
      </c>
      <c r="C8" s="16">
        <f>MAX($F$7*C5/$G$5,1)</f>
        <v>5669.8737565637075</v>
      </c>
      <c r="D8" s="16">
        <f>MAX($F$7*D5/$G$5,1)</f>
        <v>7836.851667174957</v>
      </c>
      <c r="E8" s="16">
        <f>MAX($F$7*E5/$G$5,1)</f>
        <v>8213.224822271208</v>
      </c>
      <c r="F8" s="10"/>
      <c r="G8" s="10"/>
      <c r="H8" s="6" t="s">
        <v>89</v>
      </c>
    </row>
    <row r="9" spans="1:8" ht="12.75">
      <c r="A9" s="8" t="s">
        <v>90</v>
      </c>
      <c r="B9" s="133">
        <f>(B7-B8)/B8+1</f>
        <v>2.8663179402725945</v>
      </c>
      <c r="C9" s="133">
        <f>(C7-C8)/C8+1</f>
        <v>0.71906362911172</v>
      </c>
      <c r="D9" s="133">
        <f>(D7-D8)/D8+1</f>
        <v>0</v>
      </c>
      <c r="E9" s="133">
        <f>(E7-E8)/E8+1</f>
        <v>0.562263921897974</v>
      </c>
      <c r="F9" s="20">
        <f>MAX(AVERAGE(B9:E9),0.01)</f>
        <v>1.036911372820572</v>
      </c>
      <c r="G9" s="21">
        <f>COUNTIF(B7:E7,MAX(B7:E7))</f>
        <v>1</v>
      </c>
      <c r="H9" s="6" t="s">
        <v>91</v>
      </c>
    </row>
    <row r="10" spans="1:11" ht="12.75">
      <c r="A10" s="8" t="s">
        <v>92</v>
      </c>
      <c r="B10" s="14">
        <f>IF(B7=MAX($B7:$E7),$B$6*$G$3^0.5/6/$G$9,0)</f>
        <v>1.4356978072540132</v>
      </c>
      <c r="C10" s="14">
        <f>IF(C7=MAX($B7:$E7),$B$6*$G$3^0.5/6/$G$9,0)</f>
        <v>0</v>
      </c>
      <c r="D10" s="14">
        <f>IF(D7=MAX($B7:$E7),$B$6*$G$3^0.5/6/$G$9,0)</f>
        <v>0</v>
      </c>
      <c r="E10" s="14">
        <f>IF(E7=MAX($B7:$E7),$B$6*$G$3^0.5/6/$G$9,0)</f>
        <v>0</v>
      </c>
      <c r="F10" s="20"/>
      <c r="G10"/>
      <c r="H10"/>
      <c r="J10"/>
      <c r="K10"/>
    </row>
    <row r="11" spans="1:8" ht="12.75">
      <c r="A11" s="8" t="s">
        <v>93</v>
      </c>
      <c r="B11" s="16">
        <f>-$B6+2*$B6*B9/$F9+B10-MAX((1-B9)*B4^0.7*0.1,0)</f>
        <v>20.940666763870155</v>
      </c>
      <c r="C11" s="16">
        <f>-$B6+2*$B6*C9/$F9+C10-MAX((1-C9)*C4^0.7*0.1,0)</f>
        <v>1.5257575862013946</v>
      </c>
      <c r="D11" s="16">
        <f>-$B6+2*$B6*D9/$F9+D10-MAX((1-D9)*D4^0.7*0.1,0)</f>
        <v>-6.063826889893453</v>
      </c>
      <c r="E11" s="16">
        <f>-$B6+2*$B6*E9/$F9+E10-MAX((1-E9)*E4^0.7*0.1,0)</f>
        <v>-0.5097264629393932</v>
      </c>
      <c r="F11" s="10"/>
      <c r="G11"/>
      <c r="H11"/>
    </row>
    <row r="12" spans="1:8" ht="12.75">
      <c r="A12" s="122" t="s">
        <v>152</v>
      </c>
      <c r="B12" s="137">
        <f aca="true" t="shared" si="0" ref="B12:E13">$F12*B11</f>
        <v>15.705500072902616</v>
      </c>
      <c r="C12" s="137">
        <f t="shared" si="0"/>
        <v>1.144318189651046</v>
      </c>
      <c r="D12" s="137">
        <f t="shared" si="0"/>
        <v>-4.54787016742009</v>
      </c>
      <c r="E12" s="137">
        <f t="shared" si="0"/>
        <v>-0.3822948472045449</v>
      </c>
      <c r="F12" s="124">
        <f>(1-G12/2)</f>
        <v>0.75</v>
      </c>
      <c r="G12" s="123">
        <v>0.5</v>
      </c>
      <c r="H12" s="120" t="s">
        <v>158</v>
      </c>
    </row>
    <row r="13" spans="1:8" ht="12.75">
      <c r="A13" s="127" t="s">
        <v>154</v>
      </c>
      <c r="B13" s="126">
        <f t="shared" si="0"/>
        <v>15.705500072902616</v>
      </c>
      <c r="C13" s="126">
        <f t="shared" si="0"/>
        <v>1.144318189651046</v>
      </c>
      <c r="D13" s="126">
        <f t="shared" si="0"/>
        <v>-4.54787016742009</v>
      </c>
      <c r="E13" s="126">
        <f t="shared" si="0"/>
        <v>-0.3822948472045449</v>
      </c>
      <c r="F13" s="136">
        <f>(G13/10)^0.5</f>
        <v>1</v>
      </c>
      <c r="G13" s="125">
        <v>10</v>
      </c>
      <c r="H13" s="120" t="s">
        <v>153</v>
      </c>
    </row>
    <row r="14" spans="1:8" ht="12.75">
      <c r="A14" s="134" t="s">
        <v>157</v>
      </c>
      <c r="B14" s="135">
        <f>MIN(B13,$B$6*$G$3)</f>
        <v>15.705500072902616</v>
      </c>
      <c r="C14" s="135">
        <f>MIN(C13,$B$6*$G$3)</f>
        <v>1.144318189651046</v>
      </c>
      <c r="D14" s="135">
        <f>MIN(D13,$B$6*$G$3)</f>
        <v>-4.54787016742009</v>
      </c>
      <c r="E14" s="135">
        <f>MIN(E13,$B$6*$G$3)</f>
        <v>-0.3822948472045449</v>
      </c>
      <c r="F14" s="124"/>
      <c r="G14"/>
      <c r="H14" s="120"/>
    </row>
    <row r="15" spans="1:5" s="132" customFormat="1" ht="12.75">
      <c r="A15" s="130" t="s">
        <v>94</v>
      </c>
      <c r="B15" s="131">
        <f>B4+B14</f>
        <v>15.705500072902616</v>
      </c>
      <c r="C15" s="131">
        <f>C4+C14</f>
        <v>11.144318189651045</v>
      </c>
      <c r="D15" s="131">
        <f>D4+D14</f>
        <v>55.452129832579914</v>
      </c>
      <c r="E15" s="131">
        <f>E4+E14</f>
        <v>71.61770515279545</v>
      </c>
    </row>
    <row r="16" spans="1:5" ht="39.75" customHeight="1">
      <c r="A16" s="141" t="s">
        <v>95</v>
      </c>
      <c r="B16" s="142"/>
      <c r="C16" s="142"/>
      <c r="D16" s="142"/>
      <c r="E16" s="142"/>
    </row>
    <row r="17" spans="1:5" ht="39" customHeight="1">
      <c r="A17" s="143" t="s">
        <v>100</v>
      </c>
      <c r="B17" s="144"/>
      <c r="C17" s="144"/>
      <c r="D17" s="144"/>
      <c r="E17" s="144"/>
    </row>
    <row r="18" ht="12.75"/>
    <row r="19" ht="24.75" customHeight="1">
      <c r="C19" s="7" t="s">
        <v>96</v>
      </c>
    </row>
    <row r="20" ht="12.75"/>
    <row r="21" spans="1:9" ht="13.5" thickBot="1">
      <c r="A21" s="8" t="s">
        <v>75</v>
      </c>
      <c r="B21" s="9" t="s">
        <v>76</v>
      </c>
      <c r="C21" s="9" t="s">
        <v>77</v>
      </c>
      <c r="D21" s="9" t="s">
        <v>78</v>
      </c>
      <c r="E21" s="9" t="s">
        <v>79</v>
      </c>
      <c r="F21" s="9" t="s">
        <v>97</v>
      </c>
      <c r="G21" s="8" t="s">
        <v>80</v>
      </c>
      <c r="H21" s="10">
        <v>5</v>
      </c>
      <c r="I21" s="6" t="s">
        <v>81</v>
      </c>
    </row>
    <row r="22" spans="1:7" ht="13.5" thickBot="1">
      <c r="A22" s="8" t="s">
        <v>82</v>
      </c>
      <c r="B22" s="11">
        <v>40</v>
      </c>
      <c r="C22" s="12">
        <v>25</v>
      </c>
      <c r="D22" s="12">
        <v>25</v>
      </c>
      <c r="E22" s="12">
        <v>25</v>
      </c>
      <c r="F22" s="13">
        <v>25</v>
      </c>
      <c r="G22" s="8">
        <f>AVERAGE(B22:F22)</f>
        <v>28</v>
      </c>
    </row>
    <row r="23" spans="1:9" ht="12.75">
      <c r="A23" s="8" t="s">
        <v>83</v>
      </c>
      <c r="B23" s="14">
        <f>IF($G$22&gt;0,((B22+$G$22/3+$H$1)/$G$22)^$G$23,1)</f>
        <v>1.309902057342575</v>
      </c>
      <c r="C23" s="14">
        <f>IF($G$22&gt;0,((C22+$G$22/3+$H$1)/$G$22)^$G$23,1)</f>
        <v>1.1796166643741344</v>
      </c>
      <c r="D23" s="14">
        <f>IF($G$22&gt;0,((D22+$G$22/3+$H$1)/$G$22)^$G$23,1)</f>
        <v>1.1796166643741344</v>
      </c>
      <c r="E23" s="14">
        <f>IF($G$22&gt;0,((E22+$G$22/3+$H$1)/$G$22)^$G$23,1)</f>
        <v>1.1796166643741344</v>
      </c>
      <c r="F23" s="14">
        <f>IF($G$22&gt;0,((F22+$G$22/3+$H$1)/$G$22)^$G$23,1)</f>
        <v>1.1796166643741344</v>
      </c>
      <c r="G23" s="18">
        <f>0.7/(G22^0.2)</f>
        <v>0.35947313048127305</v>
      </c>
      <c r="H23" s="15">
        <f>AVERAGE(B23:F23)</f>
        <v>1.2056737429678226</v>
      </c>
      <c r="I23" s="6" t="s">
        <v>179</v>
      </c>
    </row>
    <row r="24" spans="1:9" ht="13.5" thickBot="1">
      <c r="A24" s="8" t="s">
        <v>84</v>
      </c>
      <c r="B24" s="16">
        <f>(($G$22+3)^0.4)</f>
        <v>3.9495232751502978</v>
      </c>
      <c r="C24" s="17"/>
      <c r="D24" s="17"/>
      <c r="E24" s="17"/>
      <c r="F24" s="17"/>
      <c r="H24" s="18"/>
      <c r="I24" s="6" t="s">
        <v>85</v>
      </c>
    </row>
    <row r="25" spans="1:9" ht="13.5" thickBot="1">
      <c r="A25" s="8" t="s">
        <v>86</v>
      </c>
      <c r="B25" s="11">
        <v>100</v>
      </c>
      <c r="C25" s="12">
        <v>25</v>
      </c>
      <c r="D25" s="12">
        <v>25</v>
      </c>
      <c r="E25" s="12">
        <v>25</v>
      </c>
      <c r="F25" s="13">
        <v>25</v>
      </c>
      <c r="G25" s="8">
        <f>AVERAGE(B25:F25)</f>
        <v>40</v>
      </c>
      <c r="H25" s="10"/>
      <c r="I25" s="6" t="s">
        <v>87</v>
      </c>
    </row>
    <row r="26" spans="1:9" ht="12.75">
      <c r="A26" s="8" t="s">
        <v>88</v>
      </c>
      <c r="B26" s="16">
        <f>MAX($G$25*B23/$H$23,1)</f>
        <v>43.45792765190986</v>
      </c>
      <c r="C26" s="16">
        <f>MAX($G$25*C23/$H$23,1)</f>
        <v>39.13551808702253</v>
      </c>
      <c r="D26" s="16">
        <f>MAX($G$25*D23/$H$23,1)</f>
        <v>39.13551808702253</v>
      </c>
      <c r="E26" s="16">
        <f>MAX($G$25*E23/$H$23,1)</f>
        <v>39.13551808702253</v>
      </c>
      <c r="F26" s="16">
        <f>MAX($G$25*F23/$H$23,1)</f>
        <v>39.13551808702253</v>
      </c>
      <c r="G26" s="10"/>
      <c r="H26" s="10"/>
      <c r="I26" s="6" t="s">
        <v>89</v>
      </c>
    </row>
    <row r="27" spans="1:9" ht="12.75">
      <c r="A27" s="8" t="s">
        <v>90</v>
      </c>
      <c r="B27" s="19">
        <f>(B25-B26)/B26+1</f>
        <v>2.3010761304814604</v>
      </c>
      <c r="C27" s="19">
        <f>(C25-C26)/C26+1</f>
        <v>0.6388059037422091</v>
      </c>
      <c r="D27" s="19">
        <f>(D25-D26)/D26+1</f>
        <v>0.6388059037422091</v>
      </c>
      <c r="E27" s="19">
        <f>(E25-E26)/E26+1</f>
        <v>0.6388059037422091</v>
      </c>
      <c r="F27" s="19">
        <f>(F25-F26)/F26+1</f>
        <v>0.6388059037422091</v>
      </c>
      <c r="G27" s="20">
        <f>MAX(AVERAGE(B27:F27),0.01)</f>
        <v>0.9712599490900594</v>
      </c>
      <c r="H27" s="21">
        <f>COUNTIF(B25:F25,MAX(B25:F25))</f>
        <v>1</v>
      </c>
      <c r="I27" s="6" t="s">
        <v>91</v>
      </c>
    </row>
    <row r="28" spans="1:11" ht="12.75">
      <c r="A28" s="8" t="s">
        <v>92</v>
      </c>
      <c r="B28" s="14">
        <f>IF(B25=MAX($B25:$F25),$B$24*$H$21^0.5/6/$H$27,0)</f>
        <v>1.471900420325612</v>
      </c>
      <c r="C28" s="14">
        <f>IF(C25=MAX($B25:$F25),$B$24*$H$21^0.5/6/$H$27,0)</f>
        <v>0</v>
      </c>
      <c r="D28" s="14">
        <f>IF(D25=MAX($B25:$F25),$B$24*$H$21^0.5/6/$H$27,0)</f>
        <v>0</v>
      </c>
      <c r="E28" s="14">
        <f>IF(E25=MAX($B25:$F25),$B$24*$H$21^0.5/6/$H$27,0)</f>
        <v>0</v>
      </c>
      <c r="F28" s="14">
        <f>IF(F25=MAX($B25:$F25),$B$24*$H$21^0.5/6/$H$27,0)</f>
        <v>0</v>
      </c>
      <c r="G28" s="20"/>
      <c r="H28"/>
      <c r="I28"/>
      <c r="J28"/>
      <c r="K28"/>
    </row>
    <row r="29" spans="1:11" ht="12.75">
      <c r="A29" s="8" t="s">
        <v>93</v>
      </c>
      <c r="B29" s="16">
        <f>-$B24+2*$B24*B27/$G27+B28-MAX((1-B27)*B22^0.7*0.1,0)</f>
        <v>16.23653033092892</v>
      </c>
      <c r="C29" s="16">
        <f>-$B24+2*$B24*C27/$G27+C28-MAX((1-C27)*C22^0.7*0.1,0)</f>
        <v>0.9019523342960116</v>
      </c>
      <c r="D29" s="16">
        <f>-$B24+2*$B24*D27/$G27+D28-MAX((1-D27)*D22^0.7*0.1,0)</f>
        <v>0.9019523342960116</v>
      </c>
      <c r="E29" s="16">
        <f>-$B24+2*$B24*E27/$G27+E28-MAX((1-E27)*E22^0.7*0.1,0)</f>
        <v>0.9019523342960116</v>
      </c>
      <c r="F29" s="16">
        <f>-$B24+2*$B24*F27/$G27+F28-MAX((1-F27)*F22^0.7*0.1,0)</f>
        <v>0.9019523342960116</v>
      </c>
      <c r="G29" s="10"/>
      <c r="H29"/>
      <c r="I29"/>
      <c r="J29"/>
      <c r="K29"/>
    </row>
    <row r="30" spans="1:9" ht="12.75">
      <c r="A30" s="122" t="s">
        <v>152</v>
      </c>
      <c r="B30" s="121">
        <f aca="true" t="shared" si="1" ref="B30:F31">$G30*B29</f>
        <v>16.23653033092892</v>
      </c>
      <c r="C30" s="121">
        <f t="shared" si="1"/>
        <v>0.9019523342960116</v>
      </c>
      <c r="D30" s="121">
        <f t="shared" si="1"/>
        <v>0.9019523342960116</v>
      </c>
      <c r="E30" s="121">
        <f t="shared" si="1"/>
        <v>0.9019523342960116</v>
      </c>
      <c r="F30" s="121">
        <f t="shared" si="1"/>
        <v>0.9019523342960116</v>
      </c>
      <c r="G30" s="124">
        <f>(1-H30/2)</f>
        <v>1</v>
      </c>
      <c r="H30" s="123">
        <v>0</v>
      </c>
      <c r="I30" s="120" t="s">
        <v>158</v>
      </c>
    </row>
    <row r="31" spans="1:9" ht="12.75">
      <c r="A31" s="127" t="s">
        <v>154</v>
      </c>
      <c r="B31" s="126">
        <f t="shared" si="1"/>
        <v>16.23653033092892</v>
      </c>
      <c r="C31" s="126">
        <f t="shared" si="1"/>
        <v>0.9019523342960116</v>
      </c>
      <c r="D31" s="126">
        <f t="shared" si="1"/>
        <v>0.9019523342960116</v>
      </c>
      <c r="E31" s="126">
        <f t="shared" si="1"/>
        <v>0.9019523342960116</v>
      </c>
      <c r="F31" s="126">
        <f t="shared" si="1"/>
        <v>0.9019523342960116</v>
      </c>
      <c r="G31" s="124">
        <f>(H31/10)^0.5</f>
        <v>1</v>
      </c>
      <c r="H31" s="125">
        <v>10</v>
      </c>
      <c r="I31" s="120" t="s">
        <v>153</v>
      </c>
    </row>
    <row r="32" spans="1:8" ht="12.75">
      <c r="A32" s="134" t="s">
        <v>157</v>
      </c>
      <c r="B32" s="135">
        <f>MIN(B31,$B24*$H21)</f>
        <v>16.23653033092892</v>
      </c>
      <c r="C32" s="135">
        <f>MIN(C31,$B24*$H21)</f>
        <v>0.9019523342960116</v>
      </c>
      <c r="D32" s="135">
        <f>MIN(D31,$B24*$H21)</f>
        <v>0.9019523342960116</v>
      </c>
      <c r="E32" s="135">
        <f>MIN(E31,$B24*$H21)</f>
        <v>0.9019523342960116</v>
      </c>
      <c r="F32" s="135">
        <f>MIN(F31,$B24*$H21)</f>
        <v>0.9019523342960116</v>
      </c>
      <c r="G32"/>
      <c r="H32" s="120"/>
    </row>
    <row r="33" spans="1:6" s="132" customFormat="1" ht="12.75">
      <c r="A33" s="130" t="s">
        <v>94</v>
      </c>
      <c r="B33" s="131">
        <f>B22+B31</f>
        <v>56.23653033092892</v>
      </c>
      <c r="C33" s="131">
        <f>C22+C31</f>
        <v>25.901952334296013</v>
      </c>
      <c r="D33" s="131">
        <f>D22+D31</f>
        <v>25.901952334296013</v>
      </c>
      <c r="E33" s="131">
        <f>E22+E31</f>
        <v>25.901952334296013</v>
      </c>
      <c r="F33" s="131">
        <f>F22+F31</f>
        <v>25.901952334296013</v>
      </c>
    </row>
    <row r="34" ht="12.75"/>
    <row r="35" ht="24.75" customHeight="1">
      <c r="C35" s="7" t="s">
        <v>98</v>
      </c>
    </row>
    <row r="36" ht="12.75"/>
    <row r="37" spans="1:10" ht="13.5" thickBot="1">
      <c r="A37" s="8" t="s">
        <v>75</v>
      </c>
      <c r="B37" s="9" t="s">
        <v>76</v>
      </c>
      <c r="C37" s="9" t="s">
        <v>77</v>
      </c>
      <c r="D37" s="9" t="s">
        <v>78</v>
      </c>
      <c r="E37" s="9" t="s">
        <v>79</v>
      </c>
      <c r="F37" s="9" t="s">
        <v>97</v>
      </c>
      <c r="G37" s="9" t="s">
        <v>99</v>
      </c>
      <c r="H37" s="8" t="s">
        <v>80</v>
      </c>
      <c r="I37" s="10">
        <v>6</v>
      </c>
      <c r="J37" s="6" t="s">
        <v>81</v>
      </c>
    </row>
    <row r="38" spans="1:8" ht="13.5" thickBot="1">
      <c r="A38" s="8" t="s">
        <v>82</v>
      </c>
      <c r="B38" s="11">
        <v>201.8</v>
      </c>
      <c r="C38" s="12">
        <v>228.5</v>
      </c>
      <c r="D38" s="12">
        <v>445.9</v>
      </c>
      <c r="E38" s="12">
        <v>415.3</v>
      </c>
      <c r="F38" s="12">
        <v>448.3</v>
      </c>
      <c r="G38" s="13">
        <v>457.3</v>
      </c>
      <c r="H38" s="16">
        <f>AVERAGE(B38:G38)</f>
        <v>366.18333333333334</v>
      </c>
    </row>
    <row r="39" spans="1:10" ht="12.75">
      <c r="A39" s="8" t="s">
        <v>83</v>
      </c>
      <c r="B39" s="14">
        <f aca="true" t="shared" si="2" ref="B39:G39">IF($H$38&gt;0,((B38+$H$38/3+$H$1)/$H$38)^$H$39,1)</f>
        <v>0.9803317153653357</v>
      </c>
      <c r="C39" s="14">
        <f t="shared" si="2"/>
        <v>0.9966795171710205</v>
      </c>
      <c r="D39" s="14">
        <f t="shared" si="2"/>
        <v>1.1030752677059585</v>
      </c>
      <c r="E39" s="14">
        <f t="shared" si="2"/>
        <v>1.0902517148788702</v>
      </c>
      <c r="F39" s="14">
        <f t="shared" si="2"/>
        <v>1.1040583036279232</v>
      </c>
      <c r="G39" s="14">
        <f t="shared" si="2"/>
        <v>1.1077165013490695</v>
      </c>
      <c r="H39" s="18">
        <f>0.7/(H38^0.2)</f>
        <v>0.21496033254108038</v>
      </c>
      <c r="I39" s="15">
        <f>AVERAGE(B39:G39)</f>
        <v>1.0636855033496964</v>
      </c>
      <c r="J39" s="6" t="s">
        <v>179</v>
      </c>
    </row>
    <row r="40" spans="1:10" ht="13.5" thickBot="1">
      <c r="A40" s="8" t="s">
        <v>84</v>
      </c>
      <c r="B40" s="16">
        <f>(($H$38+3)^0.4)</f>
        <v>10.638902643481545</v>
      </c>
      <c r="C40" s="17"/>
      <c r="D40" s="17"/>
      <c r="E40" s="17"/>
      <c r="F40" s="17"/>
      <c r="G40" s="17"/>
      <c r="I40" s="18"/>
      <c r="J40" s="6" t="s">
        <v>85</v>
      </c>
    </row>
    <row r="41" spans="1:10" ht="13.5" thickBot="1">
      <c r="A41" s="8" t="s">
        <v>86</v>
      </c>
      <c r="B41" s="11">
        <v>20620</v>
      </c>
      <c r="C41" s="12">
        <v>11588</v>
      </c>
      <c r="D41" s="12">
        <v>8962</v>
      </c>
      <c r="E41" s="12">
        <v>5294</v>
      </c>
      <c r="F41" s="12">
        <v>0</v>
      </c>
      <c r="G41" s="13">
        <v>0</v>
      </c>
      <c r="H41" s="8">
        <f>AVERAGE(B41:G41)</f>
        <v>7744</v>
      </c>
      <c r="I41" s="10"/>
      <c r="J41" s="6" t="s">
        <v>87</v>
      </c>
    </row>
    <row r="42" spans="1:10" ht="12.75">
      <c r="A42" s="8" t="s">
        <v>88</v>
      </c>
      <c r="B42" s="16">
        <f aca="true" t="shared" si="3" ref="B42:G42">MAX($H$41*B39/$I$39,1)</f>
        <v>7137.155465484728</v>
      </c>
      <c r="C42" s="16">
        <f t="shared" si="3"/>
        <v>7256.173142029675</v>
      </c>
      <c r="D42" s="16">
        <f t="shared" si="3"/>
        <v>8030.771168935083</v>
      </c>
      <c r="E42" s="16">
        <f t="shared" si="3"/>
        <v>7937.411249315755</v>
      </c>
      <c r="F42" s="16">
        <f t="shared" si="3"/>
        <v>8037.92801196408</v>
      </c>
      <c r="G42" s="16">
        <f t="shared" si="3"/>
        <v>8064.560962270674</v>
      </c>
      <c r="H42" s="10"/>
      <c r="I42" s="10"/>
      <c r="J42" s="6" t="s">
        <v>89</v>
      </c>
    </row>
    <row r="43" spans="1:10" ht="12.75">
      <c r="A43" s="8" t="s">
        <v>90</v>
      </c>
      <c r="B43" s="19">
        <f aca="true" t="shared" si="4" ref="B43:G43">(B41-B42)/B42+1</f>
        <v>2.889106185190765</v>
      </c>
      <c r="C43" s="19">
        <f t="shared" si="4"/>
        <v>1.5969850461366804</v>
      </c>
      <c r="D43" s="19">
        <f t="shared" si="4"/>
        <v>1.1159575850781467</v>
      </c>
      <c r="E43" s="19">
        <f t="shared" si="4"/>
        <v>0.6669680874172129</v>
      </c>
      <c r="F43" s="19">
        <f t="shared" si="4"/>
        <v>0</v>
      </c>
      <c r="G43" s="19">
        <f t="shared" si="4"/>
        <v>0</v>
      </c>
      <c r="H43" s="20">
        <f>MAX(AVERAGE(B43:G43),0.01)</f>
        <v>1.0448361506371342</v>
      </c>
      <c r="I43" s="21">
        <f>COUNTIF(B41:G41,MAX(B41:G41))</f>
        <v>1</v>
      </c>
      <c r="J43" s="6" t="s">
        <v>91</v>
      </c>
    </row>
    <row r="44" spans="1:13" ht="12.75">
      <c r="A44" s="8" t="s">
        <v>92</v>
      </c>
      <c r="B44" s="14">
        <f aca="true" t="shared" si="5" ref="B44:G44">IF(B41=MAX($B41:$G41),$B$40*$I$37^0.5/6/$I$43,0)</f>
        <v>4.343313816612814</v>
      </c>
      <c r="C44" s="14">
        <f t="shared" si="5"/>
        <v>0</v>
      </c>
      <c r="D44" s="14">
        <f t="shared" si="5"/>
        <v>0</v>
      </c>
      <c r="E44" s="14">
        <f t="shared" si="5"/>
        <v>0</v>
      </c>
      <c r="F44" s="14">
        <f t="shared" si="5"/>
        <v>0</v>
      </c>
      <c r="G44" s="14">
        <f t="shared" si="5"/>
        <v>0</v>
      </c>
      <c r="H44" s="20"/>
      <c r="I44"/>
      <c r="J44"/>
      <c r="K44"/>
      <c r="L44"/>
      <c r="M44"/>
    </row>
    <row r="45" spans="1:11" ht="12.75">
      <c r="A45" s="8" t="s">
        <v>93</v>
      </c>
      <c r="B45" s="16">
        <f>-$B40+2*$B40*B43/$H43+B44-MAX((1-B43)*B38^0.7*0.1,0)</f>
        <v>52.54027632228741</v>
      </c>
      <c r="C45" s="16">
        <f>-$B40+2*$B40*C43/$H43+C44-MAX((1-C43)*C38^0.7*0.1,0)</f>
        <v>21.88326538943641</v>
      </c>
      <c r="D45" s="16">
        <f>-$B40+2*$B40*D43/$H43+D44-MAX((1-D43)*D38^0.7*0.1,0)</f>
        <v>12.087271397608754</v>
      </c>
      <c r="E45" s="16">
        <f>-$B40+2*$B40*E43/$H43+E44-MAX((1-E43)*E38^0.7*0.1,0)</f>
        <v>0.6773080687925406</v>
      </c>
      <c r="F45" s="16">
        <f>-$B40+2*$B40*F43/$H43+F44-MAX((1-F43)*F38^0.7*0.1,0)</f>
        <v>-17.81846740334202</v>
      </c>
      <c r="G45" s="16">
        <f>-$B40+2*$B40*G43/$H43+G44-MAX((1-G43)*G38^0.7*0.1,0)</f>
        <v>-17.919061249197817</v>
      </c>
      <c r="H45" s="10"/>
      <c r="I45"/>
      <c r="J45"/>
      <c r="K45"/>
    </row>
    <row r="46" spans="1:10" ht="12.75">
      <c r="A46" s="122" t="s">
        <v>152</v>
      </c>
      <c r="B46" s="121">
        <f aca="true" t="shared" si="6" ref="B46:G46">$H46*B45</f>
        <v>52.54027632228741</v>
      </c>
      <c r="C46" s="121">
        <f t="shared" si="6"/>
        <v>21.88326538943641</v>
      </c>
      <c r="D46" s="121">
        <f t="shared" si="6"/>
        <v>12.087271397608754</v>
      </c>
      <c r="E46" s="121">
        <f t="shared" si="6"/>
        <v>0.6773080687925406</v>
      </c>
      <c r="F46" s="121">
        <f t="shared" si="6"/>
        <v>-17.81846740334202</v>
      </c>
      <c r="G46" s="121">
        <f t="shared" si="6"/>
        <v>-17.919061249197817</v>
      </c>
      <c r="H46" s="124">
        <f>(1-I46/2)</f>
        <v>1</v>
      </c>
      <c r="I46" s="123">
        <v>0</v>
      </c>
      <c r="J46" s="120" t="s">
        <v>158</v>
      </c>
    </row>
    <row r="47" spans="1:10" ht="12.75">
      <c r="A47" s="127" t="s">
        <v>154</v>
      </c>
      <c r="B47" s="126">
        <f aca="true" t="shared" si="7" ref="B47:G47">$H47*B46</f>
        <v>52.54027632228741</v>
      </c>
      <c r="C47" s="126">
        <f t="shared" si="7"/>
        <v>21.88326538943641</v>
      </c>
      <c r="D47" s="126">
        <f t="shared" si="7"/>
        <v>12.087271397608754</v>
      </c>
      <c r="E47" s="126">
        <f t="shared" si="7"/>
        <v>0.6773080687925406</v>
      </c>
      <c r="F47" s="126">
        <f t="shared" si="7"/>
        <v>-17.81846740334202</v>
      </c>
      <c r="G47" s="126">
        <f t="shared" si="7"/>
        <v>-17.919061249197817</v>
      </c>
      <c r="H47" s="124">
        <f>(I47/10)^0.5</f>
        <v>1</v>
      </c>
      <c r="I47" s="125">
        <v>10</v>
      </c>
      <c r="J47" s="120" t="s">
        <v>153</v>
      </c>
    </row>
    <row r="48" spans="1:8" ht="12.75">
      <c r="A48" s="134" t="s">
        <v>157</v>
      </c>
      <c r="B48" s="135">
        <f aca="true" t="shared" si="8" ref="B48:G48">MIN(B47,$B40*$I37)</f>
        <v>52.54027632228741</v>
      </c>
      <c r="C48" s="135">
        <f t="shared" si="8"/>
        <v>21.88326538943641</v>
      </c>
      <c r="D48" s="135">
        <f t="shared" si="8"/>
        <v>12.087271397608754</v>
      </c>
      <c r="E48" s="135">
        <f t="shared" si="8"/>
        <v>0.6773080687925406</v>
      </c>
      <c r="F48" s="135">
        <f t="shared" si="8"/>
        <v>-17.81846740334202</v>
      </c>
      <c r="G48" s="135">
        <f t="shared" si="8"/>
        <v>-17.919061249197817</v>
      </c>
      <c r="H48" s="120"/>
    </row>
    <row r="49" spans="1:7" s="132" customFormat="1" ht="12.75">
      <c r="A49" s="130" t="s">
        <v>94</v>
      </c>
      <c r="B49" s="131">
        <f aca="true" t="shared" si="9" ref="B49:G49">B38+B47</f>
        <v>254.34027632228742</v>
      </c>
      <c r="C49" s="131">
        <f t="shared" si="9"/>
        <v>250.38326538943642</v>
      </c>
      <c r="D49" s="131">
        <f t="shared" si="9"/>
        <v>457.9872713976087</v>
      </c>
      <c r="E49" s="131">
        <f t="shared" si="9"/>
        <v>415.9773080687925</v>
      </c>
      <c r="F49" s="131">
        <f t="shared" si="9"/>
        <v>430.481532596658</v>
      </c>
      <c r="G49" s="131">
        <f t="shared" si="9"/>
        <v>439.3809387508022</v>
      </c>
    </row>
    <row r="50" ht="12.75"/>
    <row r="51" ht="24.75" customHeight="1">
      <c r="C51" s="7" t="s">
        <v>155</v>
      </c>
    </row>
    <row r="52" ht="12.75"/>
    <row r="53" spans="1:11" ht="13.5" thickBot="1">
      <c r="A53" s="8" t="s">
        <v>75</v>
      </c>
      <c r="B53" s="9" t="s">
        <v>76</v>
      </c>
      <c r="C53" s="9" t="s">
        <v>77</v>
      </c>
      <c r="D53" s="9" t="s">
        <v>78</v>
      </c>
      <c r="E53" s="9" t="s">
        <v>79</v>
      </c>
      <c r="F53" s="9" t="s">
        <v>97</v>
      </c>
      <c r="G53" s="9" t="s">
        <v>99</v>
      </c>
      <c r="H53" s="128" t="s">
        <v>156</v>
      </c>
      <c r="I53" s="8" t="s">
        <v>80</v>
      </c>
      <c r="J53" s="10">
        <v>7</v>
      </c>
      <c r="K53" s="6" t="s">
        <v>81</v>
      </c>
    </row>
    <row r="54" spans="1:9" ht="13.5" thickBot="1">
      <c r="A54" s="8" t="s">
        <v>82</v>
      </c>
      <c r="B54" s="11">
        <v>40</v>
      </c>
      <c r="C54" s="12">
        <v>25</v>
      </c>
      <c r="D54" s="12">
        <v>25</v>
      </c>
      <c r="E54" s="12">
        <v>25</v>
      </c>
      <c r="F54" s="12">
        <v>25</v>
      </c>
      <c r="G54" s="12">
        <v>25</v>
      </c>
      <c r="H54" s="13">
        <v>25</v>
      </c>
      <c r="I54" s="129">
        <f>AVERAGE(B54:H54)</f>
        <v>27.142857142857142</v>
      </c>
    </row>
    <row r="55" spans="1:11" ht="12.75">
      <c r="A55" s="8" t="s">
        <v>83</v>
      </c>
      <c r="B55" s="14">
        <f>IF($I$54&gt;0,((B54+$I$54/3+$H$1)/$I$54)^$I$55,1)</f>
        <v>1.324633903274959</v>
      </c>
      <c r="C55" s="14">
        <f aca="true" t="shared" si="10" ref="C55:H55">IF($I$54&gt;0,((C54+$I$54/3+$H$1)/$I$54)^$I$55,1)</f>
        <v>1.1913976936608988</v>
      </c>
      <c r="D55" s="14">
        <f t="shared" si="10"/>
        <v>1.1913976936608988</v>
      </c>
      <c r="E55" s="14">
        <f t="shared" si="10"/>
        <v>1.1913976936608988</v>
      </c>
      <c r="F55" s="14">
        <f t="shared" si="10"/>
        <v>1.1913976936608988</v>
      </c>
      <c r="G55" s="14">
        <f t="shared" si="10"/>
        <v>1.1913976936608988</v>
      </c>
      <c r="H55" s="14">
        <f t="shared" si="10"/>
        <v>1.1913976936608988</v>
      </c>
      <c r="I55" s="18">
        <f>0.7/(I54^0.2)</f>
        <v>0.3617153405519491</v>
      </c>
      <c r="J55" s="15">
        <f>AVERAGE(B55:H55)</f>
        <v>1.210431437891479</v>
      </c>
      <c r="K55" s="6" t="s">
        <v>179</v>
      </c>
    </row>
    <row r="56" spans="1:11" ht="13.5" thickBot="1">
      <c r="A56" s="8" t="s">
        <v>84</v>
      </c>
      <c r="B56" s="16">
        <f>(($I$54+3)^0.4)</f>
        <v>3.905474136693325</v>
      </c>
      <c r="C56" s="17"/>
      <c r="D56" s="17"/>
      <c r="E56" s="17"/>
      <c r="F56" s="17"/>
      <c r="G56" s="17"/>
      <c r="H56" s="17"/>
      <c r="J56" s="18"/>
      <c r="K56" s="6" t="s">
        <v>85</v>
      </c>
    </row>
    <row r="57" spans="1:11" ht="13.5" thickBot="1">
      <c r="A57" s="8" t="s">
        <v>86</v>
      </c>
      <c r="B57" s="11">
        <v>100</v>
      </c>
      <c r="C57" s="12">
        <v>25</v>
      </c>
      <c r="D57" s="12">
        <v>25</v>
      </c>
      <c r="E57" s="12">
        <v>25</v>
      </c>
      <c r="F57" s="12">
        <v>25</v>
      </c>
      <c r="G57" s="12">
        <v>25</v>
      </c>
      <c r="H57" s="13">
        <v>25</v>
      </c>
      <c r="I57" s="129">
        <f>AVERAGE(B57:H57)</f>
        <v>35.714285714285715</v>
      </c>
      <c r="J57" s="10"/>
      <c r="K57" s="6" t="s">
        <v>87</v>
      </c>
    </row>
    <row r="58" spans="1:11" ht="12.75">
      <c r="A58" s="8" t="s">
        <v>88</v>
      </c>
      <c r="B58" s="16">
        <f>MAX($I$57*B55/$J$55,1)</f>
        <v>39.08387720894012</v>
      </c>
      <c r="C58" s="16">
        <f aca="true" t="shared" si="11" ref="C58:H58">MAX($I$57*C55/$J$55,1)</f>
        <v>35.15268713184331</v>
      </c>
      <c r="D58" s="16">
        <f t="shared" si="11"/>
        <v>35.15268713184331</v>
      </c>
      <c r="E58" s="16">
        <f t="shared" si="11"/>
        <v>35.15268713184331</v>
      </c>
      <c r="F58" s="16">
        <f t="shared" si="11"/>
        <v>35.15268713184331</v>
      </c>
      <c r="G58" s="16">
        <f t="shared" si="11"/>
        <v>35.15268713184331</v>
      </c>
      <c r="H58" s="16">
        <f t="shared" si="11"/>
        <v>35.15268713184331</v>
      </c>
      <c r="I58" s="10"/>
      <c r="J58" s="10"/>
      <c r="K58" s="6" t="s">
        <v>89</v>
      </c>
    </row>
    <row r="59" spans="1:11" ht="12.75">
      <c r="A59" s="8" t="s">
        <v>90</v>
      </c>
      <c r="B59" s="19">
        <f aca="true" t="shared" si="12" ref="B59:H59">(B57-B58)/B58+1</f>
        <v>2.5585997895092607</v>
      </c>
      <c r="C59" s="19">
        <f t="shared" si="12"/>
        <v>0.7111831851213893</v>
      </c>
      <c r="D59" s="19">
        <f t="shared" si="12"/>
        <v>0.7111831851213893</v>
      </c>
      <c r="E59" s="19">
        <f t="shared" si="12"/>
        <v>0.7111831851213893</v>
      </c>
      <c r="F59" s="19">
        <f t="shared" si="12"/>
        <v>0.7111831851213893</v>
      </c>
      <c r="G59" s="19">
        <f t="shared" si="12"/>
        <v>0.7111831851213893</v>
      </c>
      <c r="H59" s="19">
        <f t="shared" si="12"/>
        <v>0.7111831851213893</v>
      </c>
      <c r="I59" s="20">
        <f>MAX(AVERAGE(B59:H59),0.01)</f>
        <v>0.9750998428910853</v>
      </c>
      <c r="J59" s="21">
        <f>COUNTIF(B57:H57,MAX(B57:H57))</f>
        <v>1</v>
      </c>
      <c r="K59" s="6" t="s">
        <v>91</v>
      </c>
    </row>
    <row r="60" spans="1:13" ht="12.75">
      <c r="A60" s="8" t="s">
        <v>92</v>
      </c>
      <c r="B60" s="14">
        <f>IF(B57=MAX($B57:$H57),$B$56*$J$53^0.5/6/$J$59,0)</f>
        <v>1.7221522195808692</v>
      </c>
      <c r="C60" s="14">
        <f aca="true" t="shared" si="13" ref="C60:H60">IF(C57=MAX($B57:$H57),$B$56*$J$53^0.5/6/$J$59,0)</f>
        <v>0</v>
      </c>
      <c r="D60" s="14">
        <f t="shared" si="13"/>
        <v>0</v>
      </c>
      <c r="E60" s="14">
        <f t="shared" si="13"/>
        <v>0</v>
      </c>
      <c r="F60" s="14">
        <f t="shared" si="13"/>
        <v>0</v>
      </c>
      <c r="G60" s="14">
        <f t="shared" si="13"/>
        <v>0</v>
      </c>
      <c r="H60" s="14">
        <f t="shared" si="13"/>
        <v>0</v>
      </c>
      <c r="I60" s="20"/>
      <c r="J60"/>
      <c r="K60"/>
      <c r="L60"/>
      <c r="M60"/>
    </row>
    <row r="61" spans="1:11" ht="12.75">
      <c r="A61" s="8" t="s">
        <v>93</v>
      </c>
      <c r="B61" s="16">
        <f>-$B56+2*$B56*B59/$I59+B60-MAX((1-B59)*B54^0.7*0.1,0)</f>
        <v>18.312108118955205</v>
      </c>
      <c r="C61" s="16">
        <f aca="true" t="shared" si="14" ref="C61:H61">-$B56+2*$B56*C59/$I59+C60-MAX((1-C59)*C54^0.7*0.1,0)</f>
        <v>1.5164902093076345</v>
      </c>
      <c r="D61" s="16">
        <f t="shared" si="14"/>
        <v>1.5164902093076345</v>
      </c>
      <c r="E61" s="16">
        <f t="shared" si="14"/>
        <v>1.5164902093076345</v>
      </c>
      <c r="F61" s="16">
        <f t="shared" si="14"/>
        <v>1.5164902093076345</v>
      </c>
      <c r="G61" s="16">
        <f t="shared" si="14"/>
        <v>1.5164902093076345</v>
      </c>
      <c r="H61" s="16">
        <f t="shared" si="14"/>
        <v>1.5164902093076345</v>
      </c>
      <c r="I61" s="10"/>
      <c r="J61"/>
      <c r="K61"/>
    </row>
    <row r="62" spans="1:11" ht="12.75">
      <c r="A62" s="122" t="s">
        <v>152</v>
      </c>
      <c r="B62" s="121">
        <f aca="true" t="shared" si="15" ref="B62:H62">$I62*B61</f>
        <v>18.312108118955205</v>
      </c>
      <c r="C62" s="121">
        <f t="shared" si="15"/>
        <v>1.5164902093076345</v>
      </c>
      <c r="D62" s="121">
        <f t="shared" si="15"/>
        <v>1.5164902093076345</v>
      </c>
      <c r="E62" s="121">
        <f t="shared" si="15"/>
        <v>1.5164902093076345</v>
      </c>
      <c r="F62" s="121">
        <f t="shared" si="15"/>
        <v>1.5164902093076345</v>
      </c>
      <c r="G62" s="121">
        <f t="shared" si="15"/>
        <v>1.5164902093076345</v>
      </c>
      <c r="H62" s="121">
        <f t="shared" si="15"/>
        <v>1.5164902093076345</v>
      </c>
      <c r="I62" s="124">
        <f>(1-J62/2)</f>
        <v>1</v>
      </c>
      <c r="J62" s="123">
        <v>0</v>
      </c>
      <c r="K62" s="120" t="s">
        <v>158</v>
      </c>
    </row>
    <row r="63" spans="1:11" ht="12.75">
      <c r="A63" s="127" t="s">
        <v>154</v>
      </c>
      <c r="B63" s="126">
        <f aca="true" t="shared" si="16" ref="B63:H63">$I63*B62</f>
        <v>18.312108118955205</v>
      </c>
      <c r="C63" s="126">
        <f t="shared" si="16"/>
        <v>1.5164902093076345</v>
      </c>
      <c r="D63" s="126">
        <f t="shared" si="16"/>
        <v>1.5164902093076345</v>
      </c>
      <c r="E63" s="126">
        <f t="shared" si="16"/>
        <v>1.5164902093076345</v>
      </c>
      <c r="F63" s="126">
        <f t="shared" si="16"/>
        <v>1.5164902093076345</v>
      </c>
      <c r="G63" s="126">
        <f t="shared" si="16"/>
        <v>1.5164902093076345</v>
      </c>
      <c r="H63" s="126">
        <f t="shared" si="16"/>
        <v>1.5164902093076345</v>
      </c>
      <c r="I63" s="124">
        <f>(J63/10)^0.5</f>
        <v>1</v>
      </c>
      <c r="J63" s="125">
        <v>10</v>
      </c>
      <c r="K63" s="120" t="s">
        <v>153</v>
      </c>
    </row>
    <row r="64" spans="1:8" ht="12.75">
      <c r="A64" s="134" t="s">
        <v>157</v>
      </c>
      <c r="B64" s="135">
        <f>MIN(B63,$B56*$J53)</f>
        <v>18.312108118955205</v>
      </c>
      <c r="C64" s="135">
        <f aca="true" t="shared" si="17" ref="C64:H64">MIN(C63,$B56*$J53)</f>
        <v>1.5164902093076345</v>
      </c>
      <c r="D64" s="135">
        <f t="shared" si="17"/>
        <v>1.5164902093076345</v>
      </c>
      <c r="E64" s="135">
        <f t="shared" si="17"/>
        <v>1.5164902093076345</v>
      </c>
      <c r="F64" s="135">
        <f t="shared" si="17"/>
        <v>1.5164902093076345</v>
      </c>
      <c r="G64" s="135">
        <f t="shared" si="17"/>
        <v>1.5164902093076345</v>
      </c>
      <c r="H64" s="135">
        <f t="shared" si="17"/>
        <v>1.5164902093076345</v>
      </c>
    </row>
    <row r="65" spans="1:8" ht="12.75">
      <c r="A65" s="130" t="s">
        <v>94</v>
      </c>
      <c r="B65" s="131">
        <f>B54+B64</f>
        <v>58.31210811895521</v>
      </c>
      <c r="C65" s="131">
        <f aca="true" t="shared" si="18" ref="C65:H65">C54+C64</f>
        <v>26.516490209307634</v>
      </c>
      <c r="D65" s="131">
        <f t="shared" si="18"/>
        <v>26.516490209307634</v>
      </c>
      <c r="E65" s="131">
        <f t="shared" si="18"/>
        <v>26.516490209307634</v>
      </c>
      <c r="F65" s="131">
        <f t="shared" si="18"/>
        <v>26.516490209307634</v>
      </c>
      <c r="G65" s="131">
        <f t="shared" si="18"/>
        <v>26.516490209307634</v>
      </c>
      <c r="H65" s="131">
        <f t="shared" si="18"/>
        <v>26.516490209307634</v>
      </c>
    </row>
  </sheetData>
  <sheetProtection/>
  <mergeCells count="2">
    <mergeCell ref="A16:E16"/>
    <mergeCell ref="A17:E17"/>
  </mergeCells>
  <printOptions/>
  <pageMargins left="0.75" right="0.75" top="1" bottom="1" header="0.5" footer="0.5"/>
  <pageSetup horizontalDpi="1200" verticalDpi="1200" orientation="portrait" paperSize="9" r:id="rId3"/>
  <legacyDrawing r:id="rId2"/>
</worksheet>
</file>

<file path=xl/worksheets/sheet3.xml><?xml version="1.0" encoding="utf-8"?>
<worksheet xmlns="http://schemas.openxmlformats.org/spreadsheetml/2006/main" xmlns:r="http://schemas.openxmlformats.org/officeDocument/2006/relationships">
  <sheetPr>
    <tabColor indexed="47"/>
  </sheetPr>
  <dimension ref="A1:K43"/>
  <sheetViews>
    <sheetView zoomScalePageLayoutView="0" workbookViewId="0" topLeftCell="A13">
      <selection activeCell="B38" sqref="B38"/>
    </sheetView>
  </sheetViews>
  <sheetFormatPr defaultColWidth="9.140625" defaultRowHeight="12.75"/>
  <cols>
    <col min="1" max="1" width="33.7109375" style="6" customWidth="1"/>
    <col min="2" max="8" width="11.140625" style="6" customWidth="1"/>
    <col min="9" max="9" width="11.8515625" style="6" customWidth="1"/>
    <col min="10" max="10" width="14.57421875" style="6" customWidth="1"/>
    <col min="11" max="12" width="17.8515625" style="6" customWidth="1"/>
    <col min="13" max="37" width="15.7109375" style="6" customWidth="1"/>
    <col min="38" max="16384" width="9.140625" style="6" customWidth="1"/>
  </cols>
  <sheetData>
    <row r="1" ht="24.75" customHeight="1">
      <c r="C1" s="7" t="s">
        <v>162</v>
      </c>
    </row>
    <row r="2" ht="12.75"/>
    <row r="3" spans="1:8" ht="13.5" thickBot="1">
      <c r="A3" s="8" t="s">
        <v>164</v>
      </c>
      <c r="B3" s="9" t="s">
        <v>76</v>
      </c>
      <c r="C3" s="9" t="s">
        <v>77</v>
      </c>
      <c r="D3" s="9" t="s">
        <v>78</v>
      </c>
      <c r="E3" s="9" t="s">
        <v>79</v>
      </c>
      <c r="F3" s="8" t="s">
        <v>80</v>
      </c>
      <c r="G3" s="10">
        <v>4</v>
      </c>
      <c r="H3" s="6" t="s">
        <v>165</v>
      </c>
    </row>
    <row r="4" spans="1:6" ht="13.5" thickBot="1">
      <c r="A4" s="8" t="s">
        <v>82</v>
      </c>
      <c r="B4" s="11">
        <v>10000</v>
      </c>
      <c r="C4" s="12">
        <v>10000</v>
      </c>
      <c r="D4" s="12">
        <v>10000</v>
      </c>
      <c r="E4" s="13">
        <v>10000</v>
      </c>
      <c r="F4" s="8">
        <f>AVERAGE(B4:E4)</f>
        <v>10000</v>
      </c>
    </row>
    <row r="5" spans="1:8" ht="13.5" thickBot="1">
      <c r="A5" s="8" t="s">
        <v>166</v>
      </c>
      <c r="B5" s="16">
        <f>(($F$4+3)^0.4)</f>
        <v>39.81549391150939</v>
      </c>
      <c r="C5" s="17"/>
      <c r="D5" s="17"/>
      <c r="E5" s="17"/>
      <c r="G5" s="18"/>
      <c r="H5" s="6" t="s">
        <v>85</v>
      </c>
    </row>
    <row r="6" spans="1:8" ht="13.5" thickBot="1">
      <c r="A6" s="8" t="s">
        <v>86</v>
      </c>
      <c r="B6" s="11">
        <v>1001</v>
      </c>
      <c r="C6" s="12">
        <v>1000</v>
      </c>
      <c r="D6" s="12">
        <v>1000</v>
      </c>
      <c r="E6" s="13">
        <v>1000</v>
      </c>
      <c r="F6" s="8">
        <f>AVERAGE(B6:E6)</f>
        <v>1000.25</v>
      </c>
      <c r="G6" s="10"/>
      <c r="H6" s="6" t="s">
        <v>87</v>
      </c>
    </row>
    <row r="7" spans="1:8" ht="12.75">
      <c r="A7" s="8" t="s">
        <v>88</v>
      </c>
      <c r="B7" s="16">
        <f>MAX($F$6,1)</f>
        <v>1000.25</v>
      </c>
      <c r="C7" s="16">
        <f>MAX($F$6,1)</f>
        <v>1000.25</v>
      </c>
      <c r="D7" s="16">
        <f>MAX($F$6,1)</f>
        <v>1000.25</v>
      </c>
      <c r="E7" s="16">
        <f>MAX($F$6,1)</f>
        <v>1000.25</v>
      </c>
      <c r="F7" s="10"/>
      <c r="G7" s="10"/>
      <c r="H7" s="6" t="s">
        <v>168</v>
      </c>
    </row>
    <row r="8" spans="1:8" ht="12.75">
      <c r="A8" s="8" t="s">
        <v>90</v>
      </c>
      <c r="B8" s="133">
        <f>(B6-B7)/B7+1</f>
        <v>1.0007498125468632</v>
      </c>
      <c r="C8" s="133">
        <f>(C6-C7)/C7+1</f>
        <v>0.9997500624843789</v>
      </c>
      <c r="D8" s="133">
        <f>(D6-D7)/D7+1</f>
        <v>0.9997500624843789</v>
      </c>
      <c r="E8" s="133">
        <f>(E6-E7)/E7+1</f>
        <v>0.9997500624843789</v>
      </c>
      <c r="F8" s="20">
        <f>MAX(AVERAGE(B8:E8),0.01)</f>
        <v>1</v>
      </c>
      <c r="G8" s="21">
        <f>COUNTIF(B6:E6,MAX(B6:E6))</f>
        <v>1</v>
      </c>
      <c r="H8" s="6" t="s">
        <v>167</v>
      </c>
    </row>
    <row r="9" spans="1:11" ht="12.75">
      <c r="A9" s="8" t="s">
        <v>92</v>
      </c>
      <c r="B9" s="14">
        <f>IF(B6=MAX($B6:$E6),$B$5*($G$3/3)^0.5/3/$G$8,0)</f>
        <v>15.324990751818568</v>
      </c>
      <c r="C9" s="14">
        <f>IF(C6=MAX($B6:$E6),$B$5*($G$3/3)^0.5/3/$G$8,0)</f>
        <v>0</v>
      </c>
      <c r="D9" s="14">
        <f>IF(D6=MAX($B6:$E6),$B$5*($G$3/3)^0.5/3/$G$8,0)</f>
        <v>0</v>
      </c>
      <c r="E9" s="14">
        <f>IF(E6=MAX($B6:$E6),$B$5*($G$3/3)^0.5/3/$G$8,0)</f>
        <v>0</v>
      </c>
      <c r="F9" s="20"/>
      <c r="G9"/>
      <c r="H9"/>
      <c r="J9"/>
      <c r="K9"/>
    </row>
    <row r="10" spans="1:8" ht="12.75">
      <c r="A10" s="8" t="s">
        <v>93</v>
      </c>
      <c r="B10" s="16">
        <f>-$B5+2*$B5*B8/$F8+B9-MAX((1-B8)*B4^0.7*0.1,0)</f>
        <v>55.20019297711678</v>
      </c>
      <c r="C10" s="16">
        <f>-$B5+2*$B5*C8/$F8+C9-MAX((1-C8)*C4^0.7*0.1,0)</f>
        <v>39.77982114913223</v>
      </c>
      <c r="D10" s="16">
        <f>-$B5+2*$B5*D8/$F8+D9-MAX((1-D8)*D4^0.7*0.1,0)</f>
        <v>39.77982114913223</v>
      </c>
      <c r="E10" s="16">
        <f>-$B5+2*$B5*E8/$F8+E9-MAX((1-E8)*E4^0.7*0.1,0)</f>
        <v>39.77982114913223</v>
      </c>
      <c r="F10" s="10"/>
      <c r="G10"/>
      <c r="H10"/>
    </row>
    <row r="11" spans="1:8" ht="12.75">
      <c r="A11" s="127" t="s">
        <v>154</v>
      </c>
      <c r="B11" s="126">
        <f>$F11*B10</f>
        <v>55.20019297711678</v>
      </c>
      <c r="C11" s="126">
        <f>$F11*C10</f>
        <v>39.77982114913223</v>
      </c>
      <c r="D11" s="126">
        <f>$F11*D10</f>
        <v>39.77982114913223</v>
      </c>
      <c r="E11" s="126">
        <f>$F11*E10</f>
        <v>39.77982114913223</v>
      </c>
      <c r="F11" s="136">
        <f>(G11/10)^0.5</f>
        <v>1</v>
      </c>
      <c r="G11" s="125">
        <v>10</v>
      </c>
      <c r="H11" s="120" t="s">
        <v>153</v>
      </c>
    </row>
    <row r="12" spans="1:8" ht="12.75">
      <c r="A12" s="134" t="s">
        <v>157</v>
      </c>
      <c r="B12" s="135">
        <f>MAX(MIN(B11,$B$5*$G$3),-$B$5*$G$3)</f>
        <v>55.20019297711678</v>
      </c>
      <c r="C12" s="135">
        <f>MAX(MIN(C11,$B$5*$G$3),-$B$5*$G$3)</f>
        <v>39.77982114913223</v>
      </c>
      <c r="D12" s="135">
        <f>MAX(MIN(D11,$B$5*$G$3),-$B$5*$G$3)</f>
        <v>39.77982114913223</v>
      </c>
      <c r="E12" s="135">
        <f>MAX(MIN(E11,$B$5*$G$3),-$B$5*$G$3)</f>
        <v>39.77982114913223</v>
      </c>
      <c r="F12" s="124"/>
      <c r="G12"/>
      <c r="H12" s="120"/>
    </row>
    <row r="13" spans="1:5" s="132" customFormat="1" ht="12.75">
      <c r="A13" s="130" t="s">
        <v>94</v>
      </c>
      <c r="B13" s="131">
        <f>B4+B12</f>
        <v>10055.200192977116</v>
      </c>
      <c r="C13" s="131">
        <f>C4+C12</f>
        <v>10039.779821149132</v>
      </c>
      <c r="D13" s="131">
        <f>D4+D12</f>
        <v>10039.779821149132</v>
      </c>
      <c r="E13" s="131">
        <f>E4+E12</f>
        <v>10039.779821149132</v>
      </c>
    </row>
    <row r="14" spans="1:5" ht="39.75" customHeight="1">
      <c r="A14" s="141" t="s">
        <v>95</v>
      </c>
      <c r="B14" s="142"/>
      <c r="C14" s="142"/>
      <c r="D14" s="142"/>
      <c r="E14" s="142"/>
    </row>
    <row r="15" spans="1:5" ht="39" customHeight="1">
      <c r="A15" s="143" t="s">
        <v>180</v>
      </c>
      <c r="B15" s="144"/>
      <c r="C15" s="144"/>
      <c r="D15" s="144"/>
      <c r="E15" s="144"/>
    </row>
    <row r="16" ht="12.75"/>
    <row r="17" ht="24.75" customHeight="1">
      <c r="C17" s="7" t="s">
        <v>163</v>
      </c>
    </row>
    <row r="18" ht="12.75"/>
    <row r="19" spans="1:7" ht="13.5" thickBot="1">
      <c r="A19" s="8" t="s">
        <v>164</v>
      </c>
      <c r="B19" s="9" t="s">
        <v>76</v>
      </c>
      <c r="C19" s="9" t="s">
        <v>77</v>
      </c>
      <c r="D19" s="9" t="s">
        <v>78</v>
      </c>
      <c r="E19" s="8" t="s">
        <v>80</v>
      </c>
      <c r="F19" s="10">
        <v>3</v>
      </c>
      <c r="G19" s="6" t="s">
        <v>165</v>
      </c>
    </row>
    <row r="20" spans="1:5" ht="13.5" thickBot="1">
      <c r="A20" s="8" t="s">
        <v>82</v>
      </c>
      <c r="B20" s="11">
        <v>10000</v>
      </c>
      <c r="C20" s="12">
        <v>10000</v>
      </c>
      <c r="D20" s="13">
        <v>10000</v>
      </c>
      <c r="E20" s="129">
        <f>AVERAGE(B20:D20)</f>
        <v>10000</v>
      </c>
    </row>
    <row r="21" spans="1:7" ht="13.5" thickBot="1">
      <c r="A21" s="8" t="s">
        <v>166</v>
      </c>
      <c r="B21" s="16">
        <f>(($E20+3)^0.4)</f>
        <v>39.81549391150939</v>
      </c>
      <c r="C21" s="17"/>
      <c r="D21" s="17"/>
      <c r="F21" s="18"/>
      <c r="G21" s="6" t="s">
        <v>85</v>
      </c>
    </row>
    <row r="22" spans="1:7" ht="13.5" thickBot="1">
      <c r="A22" s="8" t="s">
        <v>86</v>
      </c>
      <c r="B22" s="11">
        <v>1001</v>
      </c>
      <c r="C22" s="12">
        <v>1000</v>
      </c>
      <c r="D22" s="13">
        <v>1000</v>
      </c>
      <c r="E22" s="8">
        <f>AVERAGE(B22:D22)</f>
        <v>1000.3333333333334</v>
      </c>
      <c r="F22" s="10"/>
      <c r="G22" s="6" t="s">
        <v>87</v>
      </c>
    </row>
    <row r="23" spans="1:7" ht="12.75">
      <c r="A23" s="8" t="s">
        <v>88</v>
      </c>
      <c r="B23" s="16">
        <f>MAX($E22,1)</f>
        <v>1000.3333333333334</v>
      </c>
      <c r="C23" s="16">
        <f>MAX($E22,1)</f>
        <v>1000.3333333333334</v>
      </c>
      <c r="D23" s="16">
        <f>MAX($E22,1)</f>
        <v>1000.3333333333334</v>
      </c>
      <c r="E23" s="10"/>
      <c r="F23" s="10"/>
      <c r="G23" s="6" t="s">
        <v>168</v>
      </c>
    </row>
    <row r="24" spans="1:7" ht="12.75">
      <c r="A24" s="8" t="s">
        <v>90</v>
      </c>
      <c r="B24" s="133">
        <f>(B22-B23)/B23+1</f>
        <v>1.0006664445184938</v>
      </c>
      <c r="C24" s="133">
        <f>(C22-C23)/C23+1</f>
        <v>0.9996667777407531</v>
      </c>
      <c r="D24" s="133">
        <f>(D22-D23)/D23+1</f>
        <v>0.9996667777407531</v>
      </c>
      <c r="E24" s="20">
        <f>MAX(AVERAGE(B24:D24),0.01)</f>
        <v>1</v>
      </c>
      <c r="F24" s="21">
        <f>COUNTIF(B22:D22,MAX(B22:D22))</f>
        <v>1</v>
      </c>
      <c r="G24" s="6" t="s">
        <v>167</v>
      </c>
    </row>
    <row r="25" spans="1:11" ht="12.75">
      <c r="A25" s="8" t="s">
        <v>92</v>
      </c>
      <c r="B25" s="14">
        <f>IF(B22=MAX($B22:$D22),$B$21*($F$19/3)^0.5/3/$F$24,0)</f>
        <v>13.271831303836464</v>
      </c>
      <c r="C25" s="14">
        <f>IF(C22=MAX($B22:$D22),$B$21*($F$19/3)^0.5/3/$F$24,0)</f>
        <v>0</v>
      </c>
      <c r="D25" s="14">
        <f>IF(D22=MAX($B22:$D22),$B$21*($F$19/3)^0.5/3/$F$24,0)</f>
        <v>0</v>
      </c>
      <c r="E25" s="20"/>
      <c r="F25"/>
      <c r="G25"/>
      <c r="J25"/>
      <c r="K25"/>
    </row>
    <row r="26" spans="1:7" ht="12.75">
      <c r="A26" s="8" t="s">
        <v>93</v>
      </c>
      <c r="B26" s="16">
        <f>-$B21+2*$B21*B24/$E24+B25-MAX((1-B24)*B20^0.7*0.1,0)</f>
        <v>53.14039485068275</v>
      </c>
      <c r="C26" s="16">
        <f>-$B21+2*$B21*C24/$E24+C25-MAX((1-C24)*C20^0.7*0.1,0)</f>
        <v>39.76793419065933</v>
      </c>
      <c r="D26" s="16">
        <f>-$B21+2*$B21*D24/$E24+D25-MAX((1-D24)*D20^0.7*0.1,0)</f>
        <v>39.76793419065933</v>
      </c>
      <c r="E26" s="10"/>
      <c r="F26"/>
      <c r="G26"/>
    </row>
    <row r="27" spans="1:7" ht="12.75">
      <c r="A27" s="127" t="s">
        <v>154</v>
      </c>
      <c r="B27" s="126">
        <f>$E27*B26</f>
        <v>53.14039485068275</v>
      </c>
      <c r="C27" s="126">
        <f>$E27*C26</f>
        <v>39.76793419065933</v>
      </c>
      <c r="D27" s="126">
        <f>$E27*D26</f>
        <v>39.76793419065933</v>
      </c>
      <c r="E27" s="136">
        <f>(F27/10)^0.5</f>
        <v>1</v>
      </c>
      <c r="F27" s="125">
        <v>10</v>
      </c>
      <c r="G27" s="120" t="s">
        <v>153</v>
      </c>
    </row>
    <row r="28" spans="1:7" ht="12.75">
      <c r="A28" s="134" t="s">
        <v>157</v>
      </c>
      <c r="B28" s="135">
        <f>MAX(MIN(B27,$B$21*$F$19),-$B$21*$F$19)</f>
        <v>53.14039485068275</v>
      </c>
      <c r="C28" s="135">
        <f>MAX(MIN(C27,$B$21*$F$19),-$B$21*$F$19)</f>
        <v>39.76793419065933</v>
      </c>
      <c r="D28" s="135">
        <f>MAX(MIN(D27,$B$21*$F$19),-$B$21*$F$19)</f>
        <v>39.76793419065933</v>
      </c>
      <c r="E28" s="124"/>
      <c r="F28"/>
      <c r="G28" s="120"/>
    </row>
    <row r="29" spans="1:4" s="132" customFormat="1" ht="12.75">
      <c r="A29" s="130" t="s">
        <v>94</v>
      </c>
      <c r="B29" s="131">
        <f>B20+B28</f>
        <v>10053.140394850683</v>
      </c>
      <c r="C29" s="131">
        <f>C20+C28</f>
        <v>10039.767934190659</v>
      </c>
      <c r="D29" s="131">
        <f>D20+D28</f>
        <v>10039.767934190659</v>
      </c>
    </row>
    <row r="30" ht="12.75"/>
    <row r="31" ht="24.75" customHeight="1">
      <c r="C31" s="7" t="s">
        <v>169</v>
      </c>
    </row>
    <row r="32" ht="12.75"/>
    <row r="33" spans="1:6" ht="13.5" thickBot="1">
      <c r="A33" s="8" t="s">
        <v>164</v>
      </c>
      <c r="B33" s="9" t="s">
        <v>76</v>
      </c>
      <c r="C33" s="9" t="s">
        <v>77</v>
      </c>
      <c r="D33" s="8" t="s">
        <v>80</v>
      </c>
      <c r="E33" s="10">
        <v>2</v>
      </c>
      <c r="F33" s="6" t="s">
        <v>165</v>
      </c>
    </row>
    <row r="34" spans="1:4" ht="13.5" thickBot="1">
      <c r="A34" s="8" t="s">
        <v>82</v>
      </c>
      <c r="B34" s="11">
        <v>10000</v>
      </c>
      <c r="C34" s="13">
        <v>10000</v>
      </c>
      <c r="D34" s="129">
        <f>AVERAGE(B34:C34)</f>
        <v>10000</v>
      </c>
    </row>
    <row r="35" spans="1:6" ht="13.5" thickBot="1">
      <c r="A35" s="8" t="s">
        <v>166</v>
      </c>
      <c r="B35" s="16">
        <f>(($D34+3)^0.4)</f>
        <v>39.81549391150939</v>
      </c>
      <c r="C35" s="17"/>
      <c r="E35" s="18"/>
      <c r="F35" s="6" t="s">
        <v>85</v>
      </c>
    </row>
    <row r="36" spans="1:6" ht="13.5" thickBot="1">
      <c r="A36" s="8" t="s">
        <v>86</v>
      </c>
      <c r="B36" s="11">
        <v>1001</v>
      </c>
      <c r="C36" s="13">
        <v>1000</v>
      </c>
      <c r="D36" s="8">
        <f>AVERAGE(B36:C36)</f>
        <v>1000.5</v>
      </c>
      <c r="E36" s="10"/>
      <c r="F36" s="6" t="s">
        <v>87</v>
      </c>
    </row>
    <row r="37" spans="1:6" ht="12.75">
      <c r="A37" s="8" t="s">
        <v>88</v>
      </c>
      <c r="B37" s="16">
        <f>MAX($D36,1)</f>
        <v>1000.5</v>
      </c>
      <c r="C37" s="16">
        <f>MAX($D36,1)</f>
        <v>1000.5</v>
      </c>
      <c r="D37" s="10"/>
      <c r="E37" s="10"/>
      <c r="F37" s="6" t="s">
        <v>168</v>
      </c>
    </row>
    <row r="38" spans="1:6" ht="12.75">
      <c r="A38" s="8" t="s">
        <v>90</v>
      </c>
      <c r="B38" s="133">
        <f>(B36-B37)/B37+1</f>
        <v>1.0004997501249375</v>
      </c>
      <c r="C38" s="133">
        <f>(C36-C37)/C37+1</f>
        <v>0.9995002498750625</v>
      </c>
      <c r="D38" s="20">
        <f>MAX(AVERAGE(B38:C38),0.01)</f>
        <v>1</v>
      </c>
      <c r="E38" s="21">
        <f>COUNTIF(B36:C36,MAX(B36:C36))</f>
        <v>1</v>
      </c>
      <c r="F38" s="6" t="s">
        <v>167</v>
      </c>
    </row>
    <row r="39" spans="1:11" ht="12.75">
      <c r="A39" s="8" t="s">
        <v>92</v>
      </c>
      <c r="B39" s="14">
        <f>IF(B36=MAX($B36:$C36),$B$35*($E$33/3)^0.5/3/$E38,0)</f>
        <v>10.836404882232038</v>
      </c>
      <c r="C39" s="14">
        <f>IF(C36=MAX($B36:$C36),$B$35*($E$33/3)^0.5/3/$E38,0)</f>
        <v>0</v>
      </c>
      <c r="D39" s="20"/>
      <c r="E39"/>
      <c r="F39"/>
      <c r="J39"/>
      <c r="K39"/>
    </row>
    <row r="40" spans="1:6" ht="12.75">
      <c r="A40" s="8" t="s">
        <v>93</v>
      </c>
      <c r="B40" s="16">
        <f>-$B35+2*$B35*B38/$D38+B39-MAX((1-B38)*B34^0.7*0.1,0)</f>
        <v>50.69169438985488</v>
      </c>
      <c r="C40" s="16">
        <f>-$B35+2*$B35*C38/$D38+C39-MAX((1-C38)*C34^0.7*0.1,0)</f>
        <v>39.74416621422252</v>
      </c>
      <c r="D40" s="10"/>
      <c r="E40"/>
      <c r="F40"/>
    </row>
    <row r="41" spans="1:6" ht="12.75">
      <c r="A41" s="127" t="s">
        <v>154</v>
      </c>
      <c r="B41" s="126">
        <f>$D41*B40</f>
        <v>50.69169438985488</v>
      </c>
      <c r="C41" s="126">
        <f>$D41*C40</f>
        <v>39.74416621422252</v>
      </c>
      <c r="D41" s="136">
        <f>(E41/10)^0.5</f>
        <v>1</v>
      </c>
      <c r="E41" s="125">
        <v>10</v>
      </c>
      <c r="F41" s="120" t="s">
        <v>153</v>
      </c>
    </row>
    <row r="42" spans="1:8" ht="12.75">
      <c r="A42" s="134" t="s">
        <v>157</v>
      </c>
      <c r="B42" s="135">
        <f>MAX(MIN(B41,$B$35*$E$33),-$B$35*$E$33)</f>
        <v>50.69169438985488</v>
      </c>
      <c r="C42" s="135">
        <f>MAX(MIN(C41,$B$35*$E$33),-$B$35*$E$33)</f>
        <v>39.74416621422252</v>
      </c>
      <c r="F42" s="124"/>
      <c r="G42"/>
      <c r="H42" s="120"/>
    </row>
    <row r="43" spans="1:5" s="132" customFormat="1" ht="12.75">
      <c r="A43" s="130" t="s">
        <v>94</v>
      </c>
      <c r="B43" s="131">
        <f>B34+B42</f>
        <v>10050.691694389854</v>
      </c>
      <c r="C43" s="131">
        <f>C34+C42</f>
        <v>10039.744166214223</v>
      </c>
      <c r="D43" s="6"/>
      <c r="E43" s="6"/>
    </row>
  </sheetData>
  <sheetProtection/>
  <mergeCells count="2">
    <mergeCell ref="A14:E14"/>
    <mergeCell ref="A15:E15"/>
  </mergeCells>
  <printOptions/>
  <pageMargins left="0.75" right="0.75" top="1" bottom="1" header="0.5" footer="0.5"/>
  <pageSetup horizontalDpi="1200" verticalDpi="1200" orientation="portrait" paperSize="9" r:id="rId3"/>
  <legacyDrawing r:id="rId2"/>
</worksheet>
</file>

<file path=xl/worksheets/sheet4.xml><?xml version="1.0" encoding="utf-8"?>
<worksheet xmlns="http://schemas.openxmlformats.org/spreadsheetml/2006/main" xmlns:r="http://schemas.openxmlformats.org/officeDocument/2006/relationships">
  <sheetPr>
    <tabColor indexed="43"/>
  </sheetPr>
  <dimension ref="A1:F111"/>
  <sheetViews>
    <sheetView zoomScalePageLayoutView="0" workbookViewId="0" topLeftCell="A1">
      <selection activeCell="A1" sqref="A1"/>
    </sheetView>
  </sheetViews>
  <sheetFormatPr defaultColWidth="9.140625" defaultRowHeight="12.75"/>
  <cols>
    <col min="1" max="1" width="7.00390625" style="1" customWidth="1"/>
    <col min="2" max="6" width="5.00390625" style="0" customWidth="1"/>
  </cols>
  <sheetData>
    <row r="1" spans="1:3" ht="12.75">
      <c r="A1" s="1">
        <v>1</v>
      </c>
      <c r="B1" s="1" t="s">
        <v>151</v>
      </c>
      <c r="C1" s="1"/>
    </row>
    <row r="3" spans="1:6" ht="12.75">
      <c r="A3" s="1" t="s">
        <v>8</v>
      </c>
      <c r="B3">
        <v>1</v>
      </c>
      <c r="C3">
        <v>2</v>
      </c>
      <c r="D3">
        <v>3</v>
      </c>
      <c r="E3">
        <v>4</v>
      </c>
      <c r="F3">
        <v>5</v>
      </c>
    </row>
    <row r="4" spans="1:6" ht="12.75">
      <c r="A4" s="1" t="s">
        <v>112</v>
      </c>
      <c r="B4">
        <v>2</v>
      </c>
      <c r="C4">
        <v>3</v>
      </c>
      <c r="D4">
        <v>4</v>
      </c>
      <c r="E4">
        <v>4</v>
      </c>
      <c r="F4">
        <v>6</v>
      </c>
    </row>
    <row r="5" spans="1:6" ht="12.75">
      <c r="A5" s="1" t="s">
        <v>113</v>
      </c>
      <c r="B5">
        <v>6</v>
      </c>
      <c r="C5">
        <v>5</v>
      </c>
      <c r="D5">
        <v>4</v>
      </c>
      <c r="E5">
        <v>4</v>
      </c>
      <c r="F5">
        <v>2</v>
      </c>
    </row>
    <row r="6" spans="1:6" ht="12.75">
      <c r="A6" s="115" t="s">
        <v>114</v>
      </c>
      <c r="B6" s="114">
        <f>MIN(B5,B4)</f>
        <v>2</v>
      </c>
      <c r="C6" s="114">
        <f>MIN(C5,C4)</f>
        <v>3</v>
      </c>
      <c r="D6" s="115">
        <f>MIN(D5,D4)</f>
        <v>4</v>
      </c>
      <c r="E6" s="115">
        <f>MIN(E5,E4)</f>
        <v>4</v>
      </c>
      <c r="F6" s="114">
        <f>MIN(F5,F4)</f>
        <v>2</v>
      </c>
    </row>
    <row r="8" spans="3:4" ht="12.75">
      <c r="C8" t="s">
        <v>115</v>
      </c>
      <c r="D8">
        <v>3</v>
      </c>
    </row>
    <row r="16" spans="1:2" ht="12.75">
      <c r="A16" s="1">
        <v>2</v>
      </c>
      <c r="B16" s="1" t="s">
        <v>172</v>
      </c>
    </row>
    <row r="18" spans="1:6" ht="12.75">
      <c r="A18" s="1" t="s">
        <v>8</v>
      </c>
      <c r="B18">
        <v>1</v>
      </c>
      <c r="C18">
        <v>2</v>
      </c>
      <c r="D18">
        <v>3</v>
      </c>
      <c r="E18">
        <v>4</v>
      </c>
      <c r="F18">
        <v>5</v>
      </c>
    </row>
    <row r="19" spans="1:6" ht="12.75">
      <c r="A19" s="1" t="s">
        <v>112</v>
      </c>
      <c r="B19">
        <v>2</v>
      </c>
      <c r="C19">
        <v>3</v>
      </c>
      <c r="D19">
        <v>4</v>
      </c>
      <c r="E19">
        <v>5</v>
      </c>
      <c r="F19">
        <v>4</v>
      </c>
    </row>
    <row r="20" spans="1:6" ht="12.75">
      <c r="A20" s="1" t="s">
        <v>113</v>
      </c>
      <c r="B20">
        <v>16</v>
      </c>
      <c r="C20">
        <v>14</v>
      </c>
      <c r="D20">
        <v>13</v>
      </c>
      <c r="E20">
        <v>11</v>
      </c>
      <c r="F20">
        <v>7</v>
      </c>
    </row>
    <row r="21" spans="1:6" ht="12.75">
      <c r="A21" s="115" t="s">
        <v>114</v>
      </c>
      <c r="B21" s="114">
        <f>MIN(B20,B19)</f>
        <v>2</v>
      </c>
      <c r="C21" s="114">
        <f>MIN(C20,C19)</f>
        <v>3</v>
      </c>
      <c r="D21" s="115">
        <f>MIN(D20,D19)</f>
        <v>4</v>
      </c>
      <c r="E21" s="115">
        <f>MIN(E20,E19)</f>
        <v>5</v>
      </c>
      <c r="F21" s="115">
        <f>MIN(F20,F19)</f>
        <v>4</v>
      </c>
    </row>
    <row r="23" spans="3:4" ht="12.75">
      <c r="C23" t="s">
        <v>115</v>
      </c>
      <c r="D23">
        <v>4</v>
      </c>
    </row>
    <row r="31" spans="1:2" ht="12.75">
      <c r="A31" s="1">
        <v>3</v>
      </c>
      <c r="B31" s="1" t="s">
        <v>170</v>
      </c>
    </row>
    <row r="32" ht="12.75">
      <c r="B32" t="s">
        <v>174</v>
      </c>
    </row>
    <row r="33" spans="1:6" ht="12.75">
      <c r="A33" s="1" t="s">
        <v>8</v>
      </c>
      <c r="B33">
        <v>1</v>
      </c>
      <c r="C33">
        <v>2</v>
      </c>
      <c r="D33">
        <v>3</v>
      </c>
      <c r="E33">
        <v>4</v>
      </c>
      <c r="F33">
        <v>5</v>
      </c>
    </row>
    <row r="34" spans="1:6" ht="12.75">
      <c r="A34" s="1" t="s">
        <v>112</v>
      </c>
      <c r="B34">
        <v>9</v>
      </c>
      <c r="C34">
        <v>11</v>
      </c>
      <c r="D34">
        <v>11</v>
      </c>
      <c r="E34">
        <v>12</v>
      </c>
      <c r="F34">
        <v>13</v>
      </c>
    </row>
    <row r="35" spans="1:6" ht="12.75">
      <c r="A35" s="1" t="s">
        <v>113</v>
      </c>
      <c r="B35">
        <v>5</v>
      </c>
      <c r="C35">
        <v>5</v>
      </c>
      <c r="D35">
        <v>3</v>
      </c>
      <c r="E35">
        <v>2</v>
      </c>
      <c r="F35">
        <v>1</v>
      </c>
    </row>
    <row r="36" spans="1:6" ht="12.75">
      <c r="A36" s="115" t="s">
        <v>114</v>
      </c>
      <c r="B36" s="115">
        <f>MIN(B35,B34)</f>
        <v>5</v>
      </c>
      <c r="C36" s="115">
        <f>MIN(C35,C34)</f>
        <v>5</v>
      </c>
      <c r="D36" s="114">
        <f>MIN(D35,D34)</f>
        <v>3</v>
      </c>
      <c r="E36" s="114">
        <f>MIN(E35,E34)</f>
        <v>2</v>
      </c>
      <c r="F36" s="114">
        <f>MIN(F35,F34)</f>
        <v>1</v>
      </c>
    </row>
    <row r="38" spans="3:4" ht="12.75">
      <c r="C38" t="s">
        <v>115</v>
      </c>
      <c r="D38">
        <v>1</v>
      </c>
    </row>
    <row r="46" ht="12.75">
      <c r="B46" t="s">
        <v>175</v>
      </c>
    </row>
    <row r="47" spans="1:6" ht="12.75">
      <c r="A47" s="1" t="s">
        <v>8</v>
      </c>
      <c r="B47">
        <v>1</v>
      </c>
      <c r="C47">
        <v>2</v>
      </c>
      <c r="D47">
        <v>3</v>
      </c>
      <c r="E47">
        <v>4</v>
      </c>
      <c r="F47">
        <v>5</v>
      </c>
    </row>
    <row r="48" spans="1:6" ht="12.75">
      <c r="A48" s="1" t="s">
        <v>112</v>
      </c>
      <c r="B48">
        <v>3</v>
      </c>
      <c r="C48">
        <v>1</v>
      </c>
      <c r="D48">
        <v>2</v>
      </c>
      <c r="E48">
        <v>2</v>
      </c>
      <c r="F48">
        <v>3</v>
      </c>
    </row>
    <row r="49" spans="1:6" ht="12.75">
      <c r="A49" s="1" t="s">
        <v>113</v>
      </c>
      <c r="B49">
        <v>8</v>
      </c>
      <c r="C49">
        <v>7</v>
      </c>
      <c r="D49">
        <v>6</v>
      </c>
      <c r="E49">
        <v>5</v>
      </c>
      <c r="F49">
        <v>5</v>
      </c>
    </row>
    <row r="50" spans="1:6" ht="12.75">
      <c r="A50" s="115" t="s">
        <v>114</v>
      </c>
      <c r="B50" s="115">
        <f>MIN(B49,B48)</f>
        <v>3</v>
      </c>
      <c r="C50" s="115">
        <f>MIN(C49,C48)</f>
        <v>1</v>
      </c>
      <c r="D50" s="114">
        <f>MIN(D49,D48)</f>
        <v>2</v>
      </c>
      <c r="E50" s="114">
        <f>MIN(E49,E48)</f>
        <v>2</v>
      </c>
      <c r="F50" s="114">
        <f>MIN(F49,F48)</f>
        <v>3</v>
      </c>
    </row>
    <row r="52" spans="3:4" ht="12.75">
      <c r="C52" t="s">
        <v>115</v>
      </c>
      <c r="D52">
        <v>5</v>
      </c>
    </row>
    <row r="59" spans="1:2" ht="12.75">
      <c r="A59" s="1">
        <v>4</v>
      </c>
      <c r="B59" s="1" t="s">
        <v>173</v>
      </c>
    </row>
    <row r="61" spans="1:6" ht="12.75">
      <c r="A61" s="1" t="s">
        <v>8</v>
      </c>
      <c r="B61">
        <v>1</v>
      </c>
      <c r="C61">
        <v>2</v>
      </c>
      <c r="D61">
        <v>3</v>
      </c>
      <c r="E61">
        <v>4</v>
      </c>
      <c r="F61">
        <v>5</v>
      </c>
    </row>
    <row r="62" spans="1:6" ht="12.75">
      <c r="A62" s="1" t="s">
        <v>112</v>
      </c>
      <c r="B62">
        <v>9</v>
      </c>
      <c r="C62">
        <v>11</v>
      </c>
      <c r="D62">
        <v>11</v>
      </c>
      <c r="E62">
        <v>4</v>
      </c>
      <c r="F62">
        <v>13</v>
      </c>
    </row>
    <row r="63" spans="1:6" ht="12.75">
      <c r="A63" s="1" t="s">
        <v>113</v>
      </c>
      <c r="B63">
        <v>5</v>
      </c>
      <c r="C63">
        <v>5</v>
      </c>
      <c r="D63">
        <v>3</v>
      </c>
      <c r="E63">
        <v>2</v>
      </c>
      <c r="F63">
        <v>1</v>
      </c>
    </row>
    <row r="64" spans="1:6" ht="12.75">
      <c r="A64" s="115" t="s">
        <v>114</v>
      </c>
      <c r="B64" s="115">
        <f>MIN(B63,B62)</f>
        <v>5</v>
      </c>
      <c r="C64" s="115">
        <f>MIN(C63,C62)</f>
        <v>5</v>
      </c>
      <c r="D64" s="114">
        <f>MIN(D63,D62)</f>
        <v>3</v>
      </c>
      <c r="E64" s="114">
        <f>MIN(E63,E62)</f>
        <v>2</v>
      </c>
      <c r="F64" s="114">
        <f>MIN(F63,F62)</f>
        <v>1</v>
      </c>
    </row>
    <row r="66" spans="3:4" ht="12.75">
      <c r="C66" t="s">
        <v>115</v>
      </c>
      <c r="D66">
        <v>2</v>
      </c>
    </row>
    <row r="74" spans="1:2" ht="12.75">
      <c r="A74" s="1">
        <v>5</v>
      </c>
      <c r="B74" s="1" t="s">
        <v>171</v>
      </c>
    </row>
    <row r="75" ht="12.75">
      <c r="B75" s="1"/>
    </row>
    <row r="76" ht="12.75">
      <c r="B76" t="s">
        <v>174</v>
      </c>
    </row>
    <row r="77" spans="1:6" ht="12.75">
      <c r="A77" s="1" t="s">
        <v>8</v>
      </c>
      <c r="B77">
        <v>1</v>
      </c>
      <c r="C77">
        <v>2</v>
      </c>
      <c r="D77">
        <v>3</v>
      </c>
      <c r="E77">
        <v>4</v>
      </c>
      <c r="F77">
        <v>5</v>
      </c>
    </row>
    <row r="78" spans="1:6" ht="12.75">
      <c r="A78" s="1" t="s">
        <v>112</v>
      </c>
      <c r="B78">
        <v>2</v>
      </c>
      <c r="C78">
        <v>0</v>
      </c>
      <c r="D78">
        <v>1</v>
      </c>
      <c r="E78">
        <v>1</v>
      </c>
      <c r="F78">
        <v>2</v>
      </c>
    </row>
    <row r="79" spans="1:6" ht="12.75">
      <c r="A79" s="1" t="s">
        <v>113</v>
      </c>
      <c r="B79">
        <v>3</v>
      </c>
      <c r="C79">
        <v>3</v>
      </c>
      <c r="D79">
        <v>2</v>
      </c>
      <c r="E79">
        <v>2</v>
      </c>
      <c r="F79">
        <v>2</v>
      </c>
    </row>
    <row r="80" spans="1:6" ht="12.75">
      <c r="A80" s="115" t="s">
        <v>114</v>
      </c>
      <c r="B80" s="115">
        <f>MIN(B79,B78)</f>
        <v>2</v>
      </c>
      <c r="C80" s="115">
        <f>MIN(C79,C78)</f>
        <v>0</v>
      </c>
      <c r="D80" s="114">
        <f>MIN(D79,D78)</f>
        <v>1</v>
      </c>
      <c r="E80" s="114">
        <f>MIN(E79,E78)</f>
        <v>1</v>
      </c>
      <c r="F80" s="114">
        <f>MIN(F79,F78)</f>
        <v>2</v>
      </c>
    </row>
    <row r="82" spans="3:4" ht="12.75">
      <c r="C82" t="s">
        <v>115</v>
      </c>
      <c r="D82">
        <v>1</v>
      </c>
    </row>
    <row r="91" ht="12.75">
      <c r="B91" t="s">
        <v>175</v>
      </c>
    </row>
    <row r="92" spans="1:6" ht="12.75">
      <c r="A92" s="1" t="s">
        <v>8</v>
      </c>
      <c r="B92">
        <v>1</v>
      </c>
      <c r="C92">
        <v>2</v>
      </c>
      <c r="D92">
        <v>3</v>
      </c>
      <c r="E92">
        <v>4</v>
      </c>
      <c r="F92">
        <v>5</v>
      </c>
    </row>
    <row r="93" spans="1:6" ht="12.75">
      <c r="A93" s="1" t="s">
        <v>112</v>
      </c>
      <c r="B93">
        <v>11</v>
      </c>
      <c r="C93">
        <v>4</v>
      </c>
      <c r="D93">
        <v>3</v>
      </c>
      <c r="E93">
        <v>3</v>
      </c>
      <c r="F93">
        <v>6</v>
      </c>
    </row>
    <row r="94" spans="1:6" ht="12.75">
      <c r="A94" s="1" t="s">
        <v>113</v>
      </c>
      <c r="B94">
        <v>5</v>
      </c>
      <c r="C94">
        <v>3</v>
      </c>
      <c r="D94">
        <v>2</v>
      </c>
      <c r="E94">
        <v>1</v>
      </c>
      <c r="F94">
        <v>5</v>
      </c>
    </row>
    <row r="95" spans="1:6" ht="12.75">
      <c r="A95" s="115" t="s">
        <v>114</v>
      </c>
      <c r="B95" s="115">
        <f>MIN(B94,B93)</f>
        <v>5</v>
      </c>
      <c r="C95" s="115">
        <f>MIN(C94,C93)</f>
        <v>3</v>
      </c>
      <c r="D95" s="114">
        <f>MIN(D94,D93)</f>
        <v>2</v>
      </c>
      <c r="E95" s="114">
        <f>MIN(E94,E93)</f>
        <v>1</v>
      </c>
      <c r="F95" s="114">
        <f>MIN(F94,F93)</f>
        <v>5</v>
      </c>
    </row>
    <row r="97" spans="3:4" ht="12.75">
      <c r="C97" t="s">
        <v>115</v>
      </c>
      <c r="D97">
        <v>1</v>
      </c>
    </row>
    <row r="105" ht="12.75">
      <c r="B105" t="s">
        <v>176</v>
      </c>
    </row>
    <row r="106" spans="1:6" ht="12.75">
      <c r="A106" s="1" t="s">
        <v>8</v>
      </c>
      <c r="B106">
        <v>1</v>
      </c>
      <c r="C106">
        <v>2</v>
      </c>
      <c r="D106">
        <v>3</v>
      </c>
      <c r="E106">
        <v>4</v>
      </c>
      <c r="F106">
        <v>5</v>
      </c>
    </row>
    <row r="107" spans="1:6" ht="12.75">
      <c r="A107" s="1" t="s">
        <v>112</v>
      </c>
      <c r="B107">
        <v>11</v>
      </c>
      <c r="C107">
        <v>12</v>
      </c>
      <c r="D107">
        <v>13</v>
      </c>
      <c r="E107">
        <v>15</v>
      </c>
      <c r="F107">
        <v>18</v>
      </c>
    </row>
    <row r="108" spans="1:6" ht="12.75">
      <c r="A108" s="1" t="s">
        <v>113</v>
      </c>
      <c r="B108">
        <v>4</v>
      </c>
      <c r="C108">
        <v>6</v>
      </c>
      <c r="D108">
        <v>3</v>
      </c>
      <c r="E108">
        <v>6</v>
      </c>
      <c r="F108">
        <v>0</v>
      </c>
    </row>
    <row r="109" spans="1:6" ht="12.75">
      <c r="A109" s="115" t="s">
        <v>114</v>
      </c>
      <c r="B109" s="115">
        <f>MIN(B108,B107)</f>
        <v>4</v>
      </c>
      <c r="C109" s="115">
        <f>MIN(C108,C107)</f>
        <v>6</v>
      </c>
      <c r="D109" s="114">
        <f>MIN(D108,D107)</f>
        <v>3</v>
      </c>
      <c r="E109" s="114">
        <f>MIN(E108,E107)</f>
        <v>6</v>
      </c>
      <c r="F109" s="114">
        <f>MIN(F108,F107)</f>
        <v>0</v>
      </c>
    </row>
    <row r="111" spans="3:4" ht="12.75">
      <c r="C111" t="s">
        <v>115</v>
      </c>
      <c r="D111">
        <v>2</v>
      </c>
    </row>
  </sheetData>
  <sheetProtection/>
  <printOptions/>
  <pageMargins left="0.75" right="0.75" top="1" bottom="1" header="0.5" footer="0.5"/>
  <pageSetup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44"/>
  </sheetPr>
  <dimension ref="A2:K29"/>
  <sheetViews>
    <sheetView zoomScalePageLayoutView="0" workbookViewId="0" topLeftCell="A1">
      <selection activeCell="A1" sqref="A1"/>
    </sheetView>
  </sheetViews>
  <sheetFormatPr defaultColWidth="9.140625" defaultRowHeight="12.75"/>
  <cols>
    <col min="1" max="1" width="15.28125" style="0" customWidth="1"/>
    <col min="2" max="2" width="5.8515625" style="0" customWidth="1"/>
    <col min="3" max="3" width="28.421875" style="0" customWidth="1"/>
    <col min="4" max="4" width="6.00390625" style="0" customWidth="1"/>
    <col min="5" max="5" width="23.421875" style="0" customWidth="1"/>
    <col min="6" max="6" width="6.00390625" style="0" customWidth="1"/>
    <col min="7" max="7" width="23.421875" style="0" customWidth="1"/>
    <col min="8" max="8" width="6.00390625" style="0" customWidth="1"/>
    <col min="11" max="11" width="10.421875" style="0" customWidth="1"/>
  </cols>
  <sheetData>
    <row r="2" spans="2:3" ht="12.75">
      <c r="B2">
        <v>8</v>
      </c>
      <c r="C2" t="s">
        <v>116</v>
      </c>
    </row>
    <row r="3" spans="2:3" ht="12.75">
      <c r="B3">
        <f>B2*5</f>
        <v>40</v>
      </c>
      <c r="C3" t="s">
        <v>117</v>
      </c>
    </row>
    <row r="5" spans="2:3" ht="12.75">
      <c r="B5">
        <v>1</v>
      </c>
      <c r="C5" t="s">
        <v>118</v>
      </c>
    </row>
    <row r="6" spans="2:3" ht="12.75">
      <c r="B6">
        <v>5.5</v>
      </c>
      <c r="C6" t="s">
        <v>119</v>
      </c>
    </row>
    <row r="7" spans="2:3" ht="12.75">
      <c r="B7">
        <f>B5*5+B6</f>
        <v>10.5</v>
      </c>
      <c r="C7" t="s">
        <v>120</v>
      </c>
    </row>
    <row r="9" spans="1:3" ht="12.75">
      <c r="A9" s="116"/>
      <c r="B9" s="116">
        <f>B3/B7</f>
        <v>3.8095238095238093</v>
      </c>
      <c r="C9" t="s">
        <v>121</v>
      </c>
    </row>
    <row r="10" spans="2:3" ht="12.75">
      <c r="B10" s="117">
        <f>MIN(1,IF((B9-2)*0.125&gt;0,(B9-2)*0.125,0))</f>
        <v>0.22619047619047616</v>
      </c>
      <c r="C10" t="s">
        <v>122</v>
      </c>
    </row>
    <row r="11" spans="1:4" ht="12.75">
      <c r="A11" s="116"/>
      <c r="B11" s="118">
        <f>MAX(ROUND(B2/2*(0.8-B10),0),0)</f>
        <v>2</v>
      </c>
      <c r="C11" t="s">
        <v>123</v>
      </c>
      <c r="D11" t="s">
        <v>124</v>
      </c>
    </row>
    <row r="12" spans="1:4" ht="12.75">
      <c r="A12" s="116"/>
      <c r="B12" s="118">
        <f>ROUND(B5/2*B10,0)</f>
        <v>0</v>
      </c>
      <c r="C12" t="s">
        <v>125</v>
      </c>
      <c r="D12" t="s">
        <v>124</v>
      </c>
    </row>
    <row r="13" spans="1:2" ht="12.75">
      <c r="A13" s="116"/>
      <c r="B13" s="118"/>
    </row>
    <row r="14" spans="3:9" ht="12.75">
      <c r="C14" t="s">
        <v>126</v>
      </c>
      <c r="E14" t="s">
        <v>127</v>
      </c>
      <c r="G14" t="s">
        <v>128</v>
      </c>
      <c r="I14" t="s">
        <v>129</v>
      </c>
    </row>
    <row r="15" spans="3:9" ht="12.75">
      <c r="C15" s="1" t="s">
        <v>130</v>
      </c>
      <c r="E15" s="1" t="s">
        <v>131</v>
      </c>
      <c r="G15" s="1" t="s">
        <v>132</v>
      </c>
      <c r="I15" s="1" t="s">
        <v>133</v>
      </c>
    </row>
    <row r="16" spans="1:9" ht="12.75">
      <c r="A16" s="4" t="s">
        <v>134</v>
      </c>
      <c r="B16">
        <v>6</v>
      </c>
      <c r="C16" t="s">
        <v>135</v>
      </c>
      <c r="D16">
        <v>25</v>
      </c>
      <c r="E16" t="s">
        <v>136</v>
      </c>
      <c r="F16">
        <v>25</v>
      </c>
      <c r="G16" t="s">
        <v>137</v>
      </c>
      <c r="H16">
        <v>2500</v>
      </c>
      <c r="I16" t="s">
        <v>138</v>
      </c>
    </row>
    <row r="17" spans="1:9" ht="12.75">
      <c r="A17" s="4" t="s">
        <v>139</v>
      </c>
      <c r="B17">
        <f>ROUND(B16*B10,0)</f>
        <v>1</v>
      </c>
      <c r="C17" t="s">
        <v>140</v>
      </c>
      <c r="D17">
        <f>ROUND(D16*B10,0)</f>
        <v>6</v>
      </c>
      <c r="E17" t="s">
        <v>141</v>
      </c>
      <c r="F17">
        <f>ROUND(F16*B10,0)</f>
        <v>6</v>
      </c>
      <c r="G17" t="s">
        <v>141</v>
      </c>
      <c r="H17">
        <f>ROUND(H16*B10,0)</f>
        <v>565</v>
      </c>
      <c r="I17" t="s">
        <v>142</v>
      </c>
    </row>
    <row r="19" spans="5:11" ht="42" customHeight="1">
      <c r="E19" s="145" t="s">
        <v>159</v>
      </c>
      <c r="F19" s="146"/>
      <c r="G19" s="146"/>
      <c r="H19" s="146"/>
      <c r="I19" s="146"/>
      <c r="J19" s="146"/>
      <c r="K19" s="146"/>
    </row>
    <row r="20" ht="12.75">
      <c r="C20" t="s">
        <v>143</v>
      </c>
    </row>
    <row r="21" ht="12.75">
      <c r="C21" s="1" t="s">
        <v>144</v>
      </c>
    </row>
    <row r="22" spans="2:3" ht="12.75">
      <c r="B22">
        <v>70</v>
      </c>
      <c r="C22" s="119" t="s">
        <v>145</v>
      </c>
    </row>
    <row r="23" spans="2:3" ht="12.75">
      <c r="B23" s="116">
        <f>B22^0.5*2</f>
        <v>16.73320053068151</v>
      </c>
      <c r="C23" s="119" t="s">
        <v>146</v>
      </c>
    </row>
    <row r="24" spans="2:3" ht="12.75">
      <c r="B24" s="116">
        <f>B3/B23</f>
        <v>2.390457218668787</v>
      </c>
      <c r="C24" t="s">
        <v>121</v>
      </c>
    </row>
    <row r="25" spans="2:3" ht="12.75">
      <c r="B25" s="117">
        <f>MIN(1,IF((B24-2)*0.125&gt;0,(B24-2)*0.125,0))</f>
        <v>0.04880715233359839</v>
      </c>
      <c r="C25" s="119" t="s">
        <v>147</v>
      </c>
    </row>
    <row r="26" spans="2:3" ht="12.75">
      <c r="B26">
        <f>ROUND(B25*B22,0)</f>
        <v>3</v>
      </c>
      <c r="C26" s="119" t="s">
        <v>148</v>
      </c>
    </row>
    <row r="28" spans="2:3" ht="12.75">
      <c r="B28">
        <f>B26*200</f>
        <v>600</v>
      </c>
      <c r="C28" t="s">
        <v>149</v>
      </c>
    </row>
    <row r="29" spans="2:3" ht="12.75">
      <c r="B29">
        <f>B26*50</f>
        <v>150</v>
      </c>
      <c r="C29" t="s">
        <v>150</v>
      </c>
    </row>
  </sheetData>
  <sheetProtection/>
  <mergeCells count="1">
    <mergeCell ref="E19:K19"/>
  </mergeCells>
  <printOptions/>
  <pageMargins left="0.75" right="0.75" top="1" bottom="1" header="0.5" footer="0.5"/>
  <pageSetup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Tomasz Smieszkol</dc:creator>
  <cp:keywords/>
  <dc:description/>
  <cp:lastModifiedBy>Tomek</cp:lastModifiedBy>
  <cp:lastPrinted>2007-02-20T16:04:13Z</cp:lastPrinted>
  <dcterms:created xsi:type="dcterms:W3CDTF">2007-02-20T13:42:05Z</dcterms:created>
  <dcterms:modified xsi:type="dcterms:W3CDTF">2012-11-12T14:39:19Z</dcterms:modified>
  <cp:category/>
  <cp:version/>
  <cp:contentType/>
  <cp:contentStatus/>
</cp:coreProperties>
</file>